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aughan\Documents\Web site docs\PIPE Decks\"/>
    </mc:Choice>
  </mc:AlternateContent>
  <bookViews>
    <workbookView xWindow="0" yWindow="0" windowWidth="20490" windowHeight="9885" activeTab="1"/>
  </bookViews>
  <sheets>
    <sheet name="About this document" sheetId="2" r:id="rId1"/>
    <sheet name="Model assumptions" sheetId="3" r:id="rId2"/>
    <sheet name="Business model" sheetId="4" r:id="rId3"/>
    <sheet name="School economics " sheetId="5" r:id="rId4"/>
    <sheet name="Student economics" sheetId="6" r:id="rId5"/>
    <sheet name="Output Charts" sheetId="7" r:id="rId6"/>
    <sheet name="Summary table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6" l="1"/>
  <c r="H5" i="6"/>
  <c r="G5" i="6"/>
  <c r="F5" i="6"/>
  <c r="E5" i="6"/>
  <c r="I5" i="5"/>
  <c r="H5" i="5"/>
  <c r="G5" i="5"/>
  <c r="F5" i="5"/>
  <c r="E5" i="5"/>
  <c r="I55" i="4"/>
  <c r="H55" i="4"/>
  <c r="G55" i="4"/>
  <c r="F55" i="4"/>
  <c r="E55" i="4"/>
  <c r="D55" i="4"/>
  <c r="D44" i="4"/>
  <c r="D43" i="4"/>
  <c r="D42" i="4"/>
  <c r="D36" i="4"/>
  <c r="D35" i="4"/>
  <c r="D34" i="4"/>
  <c r="H32" i="4"/>
  <c r="G32" i="4"/>
  <c r="D32" i="4"/>
  <c r="I31" i="4"/>
  <c r="H31" i="4"/>
  <c r="G31" i="4"/>
  <c r="F31" i="4"/>
  <c r="E31" i="4"/>
  <c r="D31" i="4"/>
  <c r="I28" i="4"/>
  <c r="H28" i="4"/>
  <c r="G28" i="4"/>
  <c r="F28" i="4"/>
  <c r="E28" i="4"/>
  <c r="D28" i="4"/>
  <c r="D27" i="4"/>
  <c r="D26" i="4"/>
  <c r="D23" i="4"/>
  <c r="F21" i="4"/>
  <c r="D21" i="4"/>
  <c r="D20" i="4"/>
  <c r="H18" i="4"/>
  <c r="E11" i="4"/>
  <c r="E17" i="4" s="1"/>
  <c r="D11" i="4"/>
  <c r="D17" i="4" s="1"/>
  <c r="I10" i="4"/>
  <c r="H10" i="4"/>
  <c r="H20" i="4" s="1"/>
  <c r="G10" i="4"/>
  <c r="G20" i="4" s="1"/>
  <c r="F10" i="4"/>
  <c r="E10" i="4"/>
  <c r="D10" i="4"/>
  <c r="D18" i="4" s="1"/>
  <c r="E9" i="4"/>
  <c r="D9" i="4"/>
  <c r="D16" i="4" s="1"/>
  <c r="I48" i="3"/>
  <c r="H48" i="3"/>
  <c r="G48" i="3"/>
  <c r="F48" i="3"/>
  <c r="G46" i="3" s="1"/>
  <c r="H46" i="3" s="1"/>
  <c r="I46" i="3" s="1"/>
  <c r="E48" i="3"/>
  <c r="E46" i="3"/>
  <c r="F46" i="3" s="1"/>
  <c r="E45" i="3"/>
  <c r="F45" i="3" s="1"/>
  <c r="E44" i="3"/>
  <c r="F44" i="3" s="1"/>
  <c r="F43" i="3"/>
  <c r="G43" i="3" s="1"/>
  <c r="H43" i="3" s="1"/>
  <c r="I43" i="3" s="1"/>
  <c r="E43" i="3"/>
  <c r="E42" i="3"/>
  <c r="F42" i="3" s="1"/>
  <c r="E41" i="3"/>
  <c r="E39" i="3"/>
  <c r="F38" i="3"/>
  <c r="E38" i="3"/>
  <c r="E37" i="3"/>
  <c r="F37" i="3" s="1"/>
  <c r="E36" i="3"/>
  <c r="E43" i="4" s="1"/>
  <c r="E35" i="3"/>
  <c r="F35" i="3" s="1"/>
  <c r="F34" i="3"/>
  <c r="E34" i="3"/>
  <c r="E42" i="4" s="1"/>
  <c r="E29" i="3"/>
  <c r="F29" i="3" s="1"/>
  <c r="E28" i="3"/>
  <c r="E36" i="4" s="1"/>
  <c r="E27" i="3"/>
  <c r="F27" i="3" s="1"/>
  <c r="F26" i="3"/>
  <c r="E26" i="3"/>
  <c r="E25" i="3"/>
  <c r="F25" i="3" s="1"/>
  <c r="G25" i="3" s="1"/>
  <c r="H25" i="3" s="1"/>
  <c r="I25" i="3" s="1"/>
  <c r="E24" i="3"/>
  <c r="E34" i="4" s="1"/>
  <c r="E16" i="3"/>
  <c r="F15" i="3"/>
  <c r="E15" i="3"/>
  <c r="E26" i="4" s="1"/>
  <c r="E8" i="3"/>
  <c r="F8" i="3" s="1"/>
  <c r="F23" i="4" s="1"/>
  <c r="D7" i="3"/>
  <c r="F6" i="3"/>
  <c r="G6" i="3" s="1"/>
  <c r="E6" i="3"/>
  <c r="E21" i="4" s="1"/>
  <c r="G27" i="3" l="1"/>
  <c r="H27" i="3" s="1"/>
  <c r="I27" i="3" s="1"/>
  <c r="G35" i="3"/>
  <c r="H35" i="3" s="1"/>
  <c r="I35" i="3" s="1"/>
  <c r="E44" i="4"/>
  <c r="F39" i="3"/>
  <c r="G39" i="3" s="1"/>
  <c r="H39" i="3" s="1"/>
  <c r="I39" i="3" s="1"/>
  <c r="G44" i="3"/>
  <c r="H44" i="3" s="1"/>
  <c r="I44" i="3" s="1"/>
  <c r="D25" i="4"/>
  <c r="F35" i="4"/>
  <c r="G26" i="3"/>
  <c r="G21" i="4"/>
  <c r="H6" i="3"/>
  <c r="G8" i="3"/>
  <c r="G29" i="3"/>
  <c r="H29" i="3" s="1"/>
  <c r="I29" i="3" s="1"/>
  <c r="G37" i="3"/>
  <c r="H37" i="3" s="1"/>
  <c r="I37" i="3" s="1"/>
  <c r="G42" i="3"/>
  <c r="H42" i="3" s="1"/>
  <c r="I42" i="3" s="1"/>
  <c r="D33" i="4"/>
  <c r="E4" i="6"/>
  <c r="E4" i="5"/>
  <c r="E6" i="5" s="1"/>
  <c r="E39" i="4"/>
  <c r="D41" i="4"/>
  <c r="E16" i="4"/>
  <c r="E13" i="4"/>
  <c r="F11" i="4"/>
  <c r="F17" i="4" s="1"/>
  <c r="F9" i="4"/>
  <c r="D19" i="4"/>
  <c r="D15" i="4" s="1"/>
  <c r="D30" i="4"/>
  <c r="F26" i="4"/>
  <c r="G15" i="3"/>
  <c r="F42" i="4"/>
  <c r="G34" i="3"/>
  <c r="G44" i="4"/>
  <c r="G38" i="3"/>
  <c r="E27" i="4"/>
  <c r="F16" i="3"/>
  <c r="D22" i="4"/>
  <c r="E7" i="3"/>
  <c r="E35" i="4"/>
  <c r="G45" i="3"/>
  <c r="H45" i="3" s="1"/>
  <c r="I45" i="3" s="1"/>
  <c r="G18" i="4"/>
  <c r="D13" i="4"/>
  <c r="E32" i="4"/>
  <c r="I32" i="4"/>
  <c r="E6" i="6"/>
  <c r="E20" i="4"/>
  <c r="E18" i="4"/>
  <c r="E19" i="4" s="1"/>
  <c r="I20" i="4"/>
  <c r="I18" i="4"/>
  <c r="E23" i="4"/>
  <c r="F32" i="4"/>
  <c r="F24" i="3"/>
  <c r="F28" i="3"/>
  <c r="F36" i="3"/>
  <c r="F41" i="3"/>
  <c r="F44" i="4"/>
  <c r="D4" i="6"/>
  <c r="D5" i="6" s="1"/>
  <c r="D6" i="6" s="1"/>
  <c r="D4" i="5"/>
  <c r="D39" i="4"/>
  <c r="F20" i="4"/>
  <c r="F18" i="4"/>
  <c r="D8" i="6" l="1"/>
  <c r="D8" i="5"/>
  <c r="D50" i="4"/>
  <c r="G42" i="4"/>
  <c r="H34" i="3"/>
  <c r="D11" i="6"/>
  <c r="D11" i="5"/>
  <c r="F34" i="4"/>
  <c r="G24" i="3"/>
  <c r="E25" i="4"/>
  <c r="F36" i="4"/>
  <c r="G28" i="3"/>
  <c r="F27" i="4"/>
  <c r="G16" i="3"/>
  <c r="E22" i="4"/>
  <c r="E15" i="4" s="1"/>
  <c r="F7" i="3"/>
  <c r="H44" i="4"/>
  <c r="H38" i="3"/>
  <c r="G26" i="4"/>
  <c r="H15" i="3"/>
  <c r="F4" i="6"/>
  <c r="F6" i="6" s="1"/>
  <c r="F4" i="5"/>
  <c r="F6" i="5" s="1"/>
  <c r="F39" i="4"/>
  <c r="E41" i="4"/>
  <c r="F16" i="4"/>
  <c r="F13" i="4"/>
  <c r="G11" i="4"/>
  <c r="E33" i="4"/>
  <c r="E30" i="4" s="1"/>
  <c r="G23" i="4"/>
  <c r="H8" i="3"/>
  <c r="G35" i="4"/>
  <c r="H26" i="3"/>
  <c r="D12" i="6"/>
  <c r="D12" i="5"/>
  <c r="D40" i="4"/>
  <c r="D38" i="4"/>
  <c r="G41" i="3"/>
  <c r="D5" i="5"/>
  <c r="D6" i="5"/>
  <c r="F43" i="4"/>
  <c r="G36" i="3"/>
  <c r="F19" i="4"/>
  <c r="E38" i="4"/>
  <c r="E40" i="4"/>
  <c r="H21" i="4"/>
  <c r="I6" i="3"/>
  <c r="I21" i="4" s="1"/>
  <c r="E12" i="6" l="1"/>
  <c r="E12" i="5"/>
  <c r="S34" i="7"/>
  <c r="E8" i="6"/>
  <c r="E8" i="5"/>
  <c r="E50" i="4"/>
  <c r="D13" i="6"/>
  <c r="D13" i="5"/>
  <c r="H35" i="4"/>
  <c r="I26" i="3"/>
  <c r="I35" i="4" s="1"/>
  <c r="F22" i="4"/>
  <c r="G7" i="3"/>
  <c r="H42" i="4"/>
  <c r="I34" i="3"/>
  <c r="I42" i="4" s="1"/>
  <c r="G36" i="4"/>
  <c r="H28" i="3"/>
  <c r="G34" i="4"/>
  <c r="H24" i="3"/>
  <c r="F40" i="4"/>
  <c r="G43" i="4"/>
  <c r="H36" i="3"/>
  <c r="H41" i="3"/>
  <c r="H23" i="4"/>
  <c r="I8" i="3"/>
  <c r="I23" i="4" s="1"/>
  <c r="I38" i="3"/>
  <c r="I44" i="4"/>
  <c r="H16" i="3"/>
  <c r="G27" i="4"/>
  <c r="D46" i="4"/>
  <c r="S46" i="7"/>
  <c r="E13" i="5"/>
  <c r="E14" i="5" s="1"/>
  <c r="E13" i="6"/>
  <c r="H26" i="4"/>
  <c r="I15" i="3"/>
  <c r="I26" i="4" s="1"/>
  <c r="D17" i="6"/>
  <c r="D17" i="5"/>
  <c r="G17" i="4"/>
  <c r="G19" i="4" s="1"/>
  <c r="G9" i="4"/>
  <c r="F25" i="4"/>
  <c r="F15" i="4"/>
  <c r="E46" i="4"/>
  <c r="E11" i="5"/>
  <c r="E11" i="6"/>
  <c r="F8" i="6" l="1"/>
  <c r="F8" i="5"/>
  <c r="F50" i="4"/>
  <c r="H34" i="4"/>
  <c r="I24" i="3"/>
  <c r="I34" i="4" s="1"/>
  <c r="F11" i="6"/>
  <c r="F11" i="5"/>
  <c r="H27" i="4"/>
  <c r="I16" i="3"/>
  <c r="I27" i="4" s="1"/>
  <c r="E17" i="5"/>
  <c r="E17" i="6"/>
  <c r="F41" i="4"/>
  <c r="F38" i="4" s="1"/>
  <c r="H11" i="4"/>
  <c r="F33" i="4"/>
  <c r="F30" i="4" s="1"/>
  <c r="G4" i="5"/>
  <c r="G6" i="5" s="1"/>
  <c r="G39" i="4"/>
  <c r="G16" i="4"/>
  <c r="G13" i="4"/>
  <c r="G4" i="6"/>
  <c r="G6" i="6" s="1"/>
  <c r="I41" i="3"/>
  <c r="H36" i="4"/>
  <c r="I28" i="3"/>
  <c r="I36" i="4" s="1"/>
  <c r="H43" i="4"/>
  <c r="I36" i="3"/>
  <c r="I43" i="4" s="1"/>
  <c r="E10" i="6"/>
  <c r="E10" i="5"/>
  <c r="D10" i="6"/>
  <c r="D10" i="5"/>
  <c r="D48" i="4"/>
  <c r="G22" i="4"/>
  <c r="H7" i="3"/>
  <c r="E48" i="4"/>
  <c r="F13" i="6" l="1"/>
  <c r="F13" i="5"/>
  <c r="F46" i="4"/>
  <c r="I7" i="3"/>
  <c r="I22" i="4" s="1"/>
  <c r="H22" i="4"/>
  <c r="G40" i="4"/>
  <c r="D15" i="5"/>
  <c r="D21" i="5" s="1"/>
  <c r="D52" i="4"/>
  <c r="D15" i="6"/>
  <c r="D21" i="6" s="1"/>
  <c r="D56" i="4"/>
  <c r="F12" i="6"/>
  <c r="F12" i="5"/>
  <c r="E15" i="6"/>
  <c r="E21" i="6" s="1"/>
  <c r="E56" i="4"/>
  <c r="E52" i="4"/>
  <c r="E15" i="5"/>
  <c r="E21" i="5" s="1"/>
  <c r="G25" i="4"/>
  <c r="G15" i="4"/>
  <c r="H17" i="4"/>
  <c r="H19" i="4" s="1"/>
  <c r="H9" i="4"/>
  <c r="F17" i="5"/>
  <c r="F17" i="6"/>
  <c r="F10" i="6" l="1"/>
  <c r="F10" i="5"/>
  <c r="F48" i="4"/>
  <c r="G33" i="4"/>
  <c r="G30" i="4" s="1"/>
  <c r="H4" i="6"/>
  <c r="H6" i="6" s="1"/>
  <c r="H4" i="5"/>
  <c r="H6" i="5" s="1"/>
  <c r="H39" i="4"/>
  <c r="H16" i="4"/>
  <c r="H13" i="4"/>
  <c r="G41" i="4"/>
  <c r="G38" i="4" s="1"/>
  <c r="I11" i="4"/>
  <c r="E19" i="6"/>
  <c r="E22" i="6" s="1"/>
  <c r="E19" i="5"/>
  <c r="E22" i="5" s="1"/>
  <c r="E57" i="4"/>
  <c r="D19" i="5"/>
  <c r="D22" i="5" s="1"/>
  <c r="D57" i="4"/>
  <c r="D19" i="6"/>
  <c r="D22" i="6" s="1"/>
  <c r="D54" i="4"/>
  <c r="G8" i="6"/>
  <c r="G8" i="5"/>
  <c r="G50" i="4"/>
  <c r="G11" i="6"/>
  <c r="G11" i="5"/>
  <c r="G13" i="6" l="1"/>
  <c r="G13" i="5"/>
  <c r="G46" i="4"/>
  <c r="G17" i="6"/>
  <c r="G17" i="5"/>
  <c r="I9" i="4"/>
  <c r="I17" i="4"/>
  <c r="I19" i="4" s="1"/>
  <c r="E54" i="4"/>
  <c r="H40" i="4"/>
  <c r="F15" i="6"/>
  <c r="F21" i="6" s="1"/>
  <c r="F56" i="4"/>
  <c r="F15" i="5"/>
  <c r="F21" i="5" s="1"/>
  <c r="F52" i="4"/>
  <c r="H25" i="4"/>
  <c r="H15" i="4"/>
  <c r="G12" i="6"/>
  <c r="G12" i="5"/>
  <c r="F19" i="6" l="1"/>
  <c r="F22" i="6" s="1"/>
  <c r="F19" i="5"/>
  <c r="F22" i="5" s="1"/>
  <c r="F57" i="4"/>
  <c r="G10" i="5"/>
  <c r="G10" i="6"/>
  <c r="G48" i="4"/>
  <c r="H11" i="6"/>
  <c r="H11" i="5"/>
  <c r="F54" i="4"/>
  <c r="S21" i="7"/>
  <c r="H33" i="4"/>
  <c r="H30" i="4" s="1"/>
  <c r="I4" i="6"/>
  <c r="I6" i="6" s="1"/>
  <c r="I4" i="5"/>
  <c r="I6" i="5" s="1"/>
  <c r="I41" i="4"/>
  <c r="I39" i="4"/>
  <c r="H41" i="4"/>
  <c r="H38" i="4" s="1"/>
  <c r="I33" i="4"/>
  <c r="I30" i="4" s="1"/>
  <c r="I16" i="4"/>
  <c r="I13" i="4"/>
  <c r="S20" i="7" s="1"/>
  <c r="H8" i="6"/>
  <c r="H8" i="5"/>
  <c r="H50" i="4"/>
  <c r="I12" i="6" l="1"/>
  <c r="I12" i="5"/>
  <c r="H13" i="6"/>
  <c r="H13" i="5"/>
  <c r="G15" i="5"/>
  <c r="G21" i="5" s="1"/>
  <c r="G52" i="4"/>
  <c r="G15" i="6"/>
  <c r="G21" i="6" s="1"/>
  <c r="G56" i="4"/>
  <c r="H17" i="6"/>
  <c r="H17" i="5"/>
  <c r="H12" i="6"/>
  <c r="H12" i="5"/>
  <c r="H46" i="4"/>
  <c r="I40" i="4"/>
  <c r="I38" i="4" s="1"/>
  <c r="I25" i="4"/>
  <c r="I15" i="4"/>
  <c r="S35" i="7" s="1"/>
  <c r="S47" i="7" l="1"/>
  <c r="I13" i="5"/>
  <c r="I13" i="6"/>
  <c r="H10" i="6"/>
  <c r="H10" i="5"/>
  <c r="H48" i="4"/>
  <c r="G19" i="5"/>
  <c r="G22" i="5" s="1"/>
  <c r="G57" i="4"/>
  <c r="G19" i="6"/>
  <c r="G22" i="6" s="1"/>
  <c r="I46" i="4"/>
  <c r="I11" i="6"/>
  <c r="I11" i="5"/>
  <c r="G54" i="4"/>
  <c r="I48" i="4"/>
  <c r="I8" i="5"/>
  <c r="I8" i="6"/>
  <c r="I50" i="4"/>
  <c r="I15" i="6" l="1"/>
  <c r="I21" i="6" s="1"/>
  <c r="I56" i="4"/>
  <c r="I52" i="4"/>
  <c r="I15" i="5"/>
  <c r="I21" i="5" s="1"/>
  <c r="I10" i="6"/>
  <c r="I10" i="5"/>
  <c r="H15" i="5"/>
  <c r="H21" i="5" s="1"/>
  <c r="H52" i="4"/>
  <c r="H15" i="6"/>
  <c r="H21" i="6" s="1"/>
  <c r="H56" i="4"/>
  <c r="I14" i="5"/>
  <c r="I17" i="5"/>
  <c r="I17" i="6"/>
  <c r="I19" i="6" l="1"/>
  <c r="I22" i="6" s="1"/>
  <c r="I19" i="5"/>
  <c r="I22" i="5" s="1"/>
  <c r="I57" i="4"/>
  <c r="H19" i="5"/>
  <c r="H22" i="5" s="1"/>
  <c r="H57" i="4"/>
  <c r="H19" i="6"/>
  <c r="H22" i="6" s="1"/>
  <c r="D3" i="4"/>
  <c r="S8" i="7" s="1"/>
  <c r="H54" i="4"/>
  <c r="I54" i="4" l="1"/>
  <c r="D2" i="4"/>
  <c r="S7" i="7" s="1"/>
  <c r="D4" i="4"/>
  <c r="S9" i="7" s="1"/>
</calcChain>
</file>

<file path=xl/comments1.xml><?xml version="1.0" encoding="utf-8"?>
<comments xmlns="http://schemas.openxmlformats.org/spreadsheetml/2006/main">
  <authors>
    <author>Aditi Srinivas</author>
  </authors>
  <commentList>
    <comment ref="K47" authorId="0" shapeId="0">
      <text>
        <r>
          <rPr>
            <b/>
            <sz val="9"/>
            <color indexed="81"/>
            <rFont val="Tahoma"/>
            <family val="2"/>
          </rPr>
          <t>Aditi Srinivas:</t>
        </r>
        <r>
          <rPr>
            <sz val="9"/>
            <color indexed="81"/>
            <rFont val="Tahoma"/>
            <family val="2"/>
          </rPr>
          <t xml:space="preserve">
Will verify today
</t>
        </r>
      </text>
    </comment>
  </commentList>
</comments>
</file>

<file path=xl/sharedStrings.xml><?xml version="1.0" encoding="utf-8"?>
<sst xmlns="http://schemas.openxmlformats.org/spreadsheetml/2006/main" count="369" uniqueCount="299">
  <si>
    <t>Objective</t>
  </si>
  <si>
    <t xml:space="preserve">- Provides an understanding of key financial aspects of setting up and running an ABL solution business in the APS market 
- Enables users to make choices (based on benchmark costs gathered from existing ABL solution providers and their local conditions) and assess the resulting investments required </t>
  </si>
  <si>
    <t xml:space="preserve">Intended users </t>
  </si>
  <si>
    <t>- Existing solution providers already serving APSs in the ABL solution business 
- Existing solution providers interested in expanding in to the ABL solution business 
- Entrepreneurs interested in setting up an ABL solution business 
- Other stakeholders interested or working in the Affordable Private School space (e.g. investors)</t>
  </si>
  <si>
    <t>Table of contents</t>
  </si>
  <si>
    <t xml:space="preserve"> S No.</t>
  </si>
  <si>
    <t>Page</t>
  </si>
  <si>
    <t>Description</t>
  </si>
  <si>
    <t>Model assumptions</t>
  </si>
  <si>
    <t>List of assumptions for revenue and costs; these are inputs for the 'Business model' sheet</t>
  </si>
  <si>
    <t xml:space="preserve">Business model </t>
  </si>
  <si>
    <t>Calculates financial performance of ABL solution provider (i.e. net income, total investment needed etc.) based on inputs in the 'Model assumptions' sheet</t>
  </si>
  <si>
    <t xml:space="preserve">School economics </t>
  </si>
  <si>
    <t>Calculates provider's financial performance on a per school basis</t>
  </si>
  <si>
    <t xml:space="preserve">Student economics </t>
  </si>
  <si>
    <t>Calculates provider's financial performance on a per student basis</t>
  </si>
  <si>
    <t>Output Charts</t>
  </si>
  <si>
    <t xml:space="preserve">Dynamic sheet that shows users how key outputs (number of schools, number of students, total revenue etc.) changes over time. This sheet auto-populates based on inputs in the 'Model assumption' sheet </t>
  </si>
  <si>
    <t xml:space="preserve">Hot to use this model </t>
  </si>
  <si>
    <t>Step 1</t>
  </si>
  <si>
    <r>
      <rPr>
        <b/>
        <sz val="11"/>
        <color theme="1"/>
        <rFont val="Calibri"/>
        <family val="2"/>
        <scheme val="minor"/>
      </rPr>
      <t xml:space="preserve">Read 'Key considerations' sheet </t>
    </r>
    <r>
      <rPr>
        <sz val="11"/>
        <color theme="1"/>
        <rFont val="Calibri"/>
        <family val="2"/>
        <scheme val="minor"/>
      </rPr>
      <t xml:space="preserve">to find out if this model will suit your business' needs </t>
    </r>
  </si>
  <si>
    <t>Step 2</t>
  </si>
  <si>
    <r>
      <rPr>
        <b/>
        <sz val="11"/>
        <color theme="1"/>
        <rFont val="Calibri"/>
        <family val="2"/>
        <scheme val="minor"/>
      </rPr>
      <t>Enter business assumptions in the 'Model assumptions' sheet:</t>
    </r>
    <r>
      <rPr>
        <sz val="11"/>
        <color theme="1"/>
        <rFont val="Calibri"/>
        <family val="2"/>
        <scheme val="minor"/>
      </rPr>
      <t xml:space="preserve"> Please enter your assumptions for each of the line items for the current year, and a forecasted 5-year period (i.e., columns D to H). Data from current service providers and descriptions of each line item are given in column J (Market Data) and K (Description) respectively.</t>
    </r>
  </si>
  <si>
    <t>Step 3</t>
  </si>
  <si>
    <r>
      <rPr>
        <b/>
        <sz val="11"/>
        <color theme="1"/>
        <rFont val="Calibri"/>
        <family val="2"/>
        <scheme val="minor"/>
      </rPr>
      <t xml:space="preserve">View financial projections in the "Business model sheet": </t>
    </r>
    <r>
      <rPr>
        <sz val="11"/>
        <color theme="1"/>
        <rFont val="Calibri"/>
        <family val="2"/>
        <scheme val="minor"/>
      </rPr>
      <t xml:space="preserve">After entering the set of inputs, the financial projections will be populated in the 'Business model' sheet, which is the key output sheet for the model. </t>
    </r>
  </si>
  <si>
    <t>Step 4</t>
  </si>
  <si>
    <r>
      <rPr>
        <b/>
        <sz val="11"/>
        <color theme="1"/>
        <rFont val="Calibri"/>
        <family val="2"/>
        <scheme val="minor"/>
      </rPr>
      <t>Modify assumptions, if required:</t>
    </r>
    <r>
      <rPr>
        <sz val="11"/>
        <color theme="1"/>
        <rFont val="Calibri"/>
        <family val="2"/>
        <scheme val="minor"/>
      </rPr>
      <t xml:space="preserve"> Go back to the 'Model assumptions' sheet and modify the initial set of assumptions to see the impact on the long-term financials of the company.</t>
    </r>
  </si>
  <si>
    <t>Step 5</t>
  </si>
  <si>
    <t>To view the revenues and costs of the APS business segment on a per school basis, see sheet 'School economics'. 
To view the revenues and costs of the APS business segment on a per student basis, see sheet 'Student economics'. 
To view key metrics of the business model, see 'Output charts' sheet</t>
  </si>
  <si>
    <t xml:space="preserve">Key considerations of the model </t>
  </si>
  <si>
    <t xml:space="preserve">- Model designed for a full-school curriculum provider </t>
  </si>
  <si>
    <t>- A full-school curriculum provider provides  lesson plans, TLMs, books and other materials for a full day (all subjects) in a classroom at an APS</t>
  </si>
  <si>
    <t xml:space="preserve">- Single subject providers should adjust cost and pricing assumptions as appropriate when using this model </t>
  </si>
  <si>
    <t>- Designed for an existing organization operating in a similar setup (e.g. serving mid-market or already serving APS market)</t>
  </si>
  <si>
    <t xml:space="preserve">- Assumes a saleable product is in place for at least pre-primary grades (some limited iterations may be required) </t>
  </si>
  <si>
    <t>- Assumes key leadership resources are in place (e.g. CEO, head of sales, head of implementation, head of product)</t>
  </si>
  <si>
    <t xml:space="preserve">- Assumes basic processes and associated investments are in place (e.g. CRM) </t>
  </si>
  <si>
    <t xml:space="preserve">- Assumes existing resources are leveraged for growth (e.g. does not make any explicit cost assumptions in setting up new office, costs for entering new geography) </t>
  </si>
  <si>
    <t xml:space="preserve">- Growth premised on willingness to invest in sales resource </t>
  </si>
  <si>
    <t>- Determines the number of sales that can be closed per year</t>
  </si>
  <si>
    <t>- Determines the number of implementation staff required in conjunction with planned days of support offered per APS</t>
  </si>
  <si>
    <t>- Determines recruitment of other resources (e.g. mid-management staff to oversee sales and implementation resources)</t>
  </si>
  <si>
    <t>- Sales team is recruited in the previous financial year, however, implementation team is recruited in the current financial year</t>
  </si>
  <si>
    <t>- Assumes one learning manager supports 15 APSs by themselves (e.g. conducts training, visits school to observe classrooms and share feedback with teachers, engages with owners and parents)</t>
  </si>
  <si>
    <t xml:space="preserve">- Determines total investment needed and break-even period based on operating income (i.e. doesn’t consider tax, depreciation, interest and amortization) </t>
  </si>
  <si>
    <t xml:space="preserve">Colour code </t>
  </si>
  <si>
    <t xml:space="preserve">FSG ASSUMPTIONS/ESTIMATES  - Can be edited to suit provider needs </t>
  </si>
  <si>
    <r>
      <t xml:space="preserve">AUTOMATICALLY CALCULATED - </t>
    </r>
    <r>
      <rPr>
        <b/>
        <i/>
        <sz val="11"/>
        <color rgb="FFFF0000"/>
        <rFont val="Calibri"/>
        <family val="2"/>
        <scheme val="minor"/>
      </rPr>
      <t>DO NOT EDIT</t>
    </r>
  </si>
  <si>
    <t xml:space="preserve">Current year </t>
  </si>
  <si>
    <t>Forecasted years</t>
  </si>
  <si>
    <t>Assumption category</t>
  </si>
  <si>
    <t>Y1</t>
  </si>
  <si>
    <t>Y2</t>
  </si>
  <si>
    <t>Y3</t>
  </si>
  <si>
    <t>Y4</t>
  </si>
  <si>
    <t>Y5</t>
  </si>
  <si>
    <t>Market data for three ABL solution providers</t>
  </si>
  <si>
    <t>Revenue</t>
  </si>
  <si>
    <t>Average number of students per classroom</t>
  </si>
  <si>
    <t>(30, 30, 30)</t>
  </si>
  <si>
    <t>Average number of students in each classroom. These could be across grades (e.g., LKG, UKG, etc.).</t>
  </si>
  <si>
    <t>Average number of classrooms signed up per APS</t>
  </si>
  <si>
    <t>(2, 6, 3)</t>
  </si>
  <si>
    <t>Average number of classrooms signed-up at each APS. These could be of different grades (e.g., LKG, UKG, etc.).</t>
  </si>
  <si>
    <t>Price per student per year (₹) (paid every year)</t>
  </si>
  <si>
    <t>(1650, 1387, 1200)</t>
  </si>
  <si>
    <t>Per student price of the program. Assumed to be charged per year to new and renewal schools. In case of tiered pricing, use the average price.</t>
  </si>
  <si>
    <t>One-time price per classroom (₹) (paid only in the first year)</t>
  </si>
  <si>
    <t>(0, 0, 25,000)</t>
  </si>
  <si>
    <t>If in addition to the per student price, there is a price per classroom, then specify here. Assumed to only be paid in the first year - renewal schools do not pay this amount</t>
  </si>
  <si>
    <t>One-time price per school (₹) (paid only in the first year)</t>
  </si>
  <si>
    <t>(25,000, 0, 45,000)</t>
  </si>
  <si>
    <t>If in addition to the per student price and the per classroom price, there is a one-time price for the school (e.g. licensing fee), then specify here. Assumed to only be paid in the first year - renewal schools do not pay this amount</t>
  </si>
  <si>
    <t>Rate of growth of prices y.o.y (%)</t>
  </si>
  <si>
    <t>(10%, 0%, 5%)</t>
  </si>
  <si>
    <t>Growth in price has been assumed to be slightly below inflation rate.</t>
  </si>
  <si>
    <t>Renewal rate of APSs per year (%)</t>
  </si>
  <si>
    <t>(80%, 85%, 80%)</t>
  </si>
  <si>
    <t>Proportion of schools that renew the program each year</t>
  </si>
  <si>
    <t xml:space="preserve">Number of new schools in current year </t>
  </si>
  <si>
    <t>NA</t>
  </si>
  <si>
    <t>(NA, NA, NA)</t>
  </si>
  <si>
    <t xml:space="preserve">Number of new APSs that the solution provider currently services </t>
  </si>
  <si>
    <t xml:space="preserve">Number of renewal schools in current year </t>
  </si>
  <si>
    <t xml:space="preserve">Number of renewal APSs that the solution provider currently services </t>
  </si>
  <si>
    <t>Default rate (%)</t>
  </si>
  <si>
    <t>(3%, 0%, 0%)</t>
  </si>
  <si>
    <t>Proportion of revenue not paid to provider</t>
  </si>
  <si>
    <t>Product cost</t>
  </si>
  <si>
    <t>Cost of student kit (books, TLMs) per student per year  (₹)</t>
  </si>
  <si>
    <t>(800, 550, 733)</t>
  </si>
  <si>
    <t>Cost of all material given per student every year</t>
  </si>
  <si>
    <t>One-time cost of classroom kit (books, TLMs) per classroom (if applicable) (₹)</t>
  </si>
  <si>
    <t>(10,700, 0, 18,333)</t>
  </si>
  <si>
    <t>One-time cost of any material given per classroom (or per teacher, assuming each classroom has 1 teacher)</t>
  </si>
  <si>
    <t>One-time cost of school kit (software license fee, TLMs) per school (₹)</t>
  </si>
  <si>
    <t>(0, 0, 10,000)</t>
  </si>
  <si>
    <t>One-time cost of any material given to the school, in addition to the student and classroom/teacher material (e.g., software license) every year</t>
  </si>
  <si>
    <t>Rate of growth of materials cost y.o.y (%)</t>
  </si>
  <si>
    <t>(3%, 0%, 2%)</t>
  </si>
  <si>
    <t>Growth in materials cost has been assumed to be much lower than current inflation rate as provider may get scale benefits</t>
  </si>
  <si>
    <t xml:space="preserve">Sales </t>
  </si>
  <si>
    <t>Number of new APSs that a salesperson can sign up in a year</t>
  </si>
  <si>
    <t>(10, 15, 8)</t>
  </si>
  <si>
    <t>Average number of new APSs that a salesperson signs-up during the year. Does not include renewals.</t>
  </si>
  <si>
    <t>Total number of salespeople</t>
  </si>
  <si>
    <t>(6, 22, 3)</t>
  </si>
  <si>
    <t xml:space="preserve">Number of field staff hired to sign up new schools that will be serviced next year </t>
  </si>
  <si>
    <t>Number of salespersons supervised by each Sales Manager</t>
  </si>
  <si>
    <t>(7, 5, NA)</t>
  </si>
  <si>
    <t>Average number of salespersons managed by each area/ regional Sales Manager</t>
  </si>
  <si>
    <t>Number of total schools required to recruit a Sales Head</t>
  </si>
  <si>
    <t>(NA, 50, NA)</t>
  </si>
  <si>
    <t>Minimum number of schools serviced to require hiring a function head to oversee Sales Managers</t>
  </si>
  <si>
    <t>Salesperson salary per year (₹)</t>
  </si>
  <si>
    <t>(2,40,000, 3,50,000, 3,60,000)</t>
  </si>
  <si>
    <t>Fixed salary of the sales person</t>
  </si>
  <si>
    <t>Salesperson reimbursements per year (₹)</t>
  </si>
  <si>
    <t>(0, 1,25,000, 0)</t>
  </si>
  <si>
    <t>Reimbursements for transport, food, phone bills etc.</t>
  </si>
  <si>
    <t>Sales Manager salary per year (₹)</t>
  </si>
  <si>
    <t>(4,80,000, 9,00,000, 7,50,000)</t>
  </si>
  <si>
    <t>Fixed salary of the Sales Manager</t>
  </si>
  <si>
    <t>Sales Manager reimbursement per year (₹)</t>
  </si>
  <si>
    <t>(0, 0, 0)</t>
  </si>
  <si>
    <t>Sales Head salary per year (₹)</t>
  </si>
  <si>
    <t>(9,60,000, 15,00,000, 21,00,000)</t>
  </si>
  <si>
    <t>Fixed salary of the Sales Head</t>
  </si>
  <si>
    <t>Sales Head reimbursement per year (₹)</t>
  </si>
  <si>
    <t>Implementation</t>
  </si>
  <si>
    <t>Number of schools that each trainer can service</t>
  </si>
  <si>
    <t>(8, 20, 15)</t>
  </si>
  <si>
    <t>Based on effort needed to deliver year-round support to an APS; one trainer to deliver all touchpoints (training, owner meetings, parent interactions) to a single APS. Assumes a trainer can handle 12 APSs if each APS buys the solution for up to 6 classrooms</t>
  </si>
  <si>
    <t>Number of trainers supervised by each Training Manager</t>
  </si>
  <si>
    <t>(10, 5, NA)</t>
  </si>
  <si>
    <t>Average number of servicing staff members managed by each area/ regional servicing team manager</t>
  </si>
  <si>
    <t>Number of total schools required to recruit a Training Head</t>
  </si>
  <si>
    <t>Minimum number of schools serviced to require hiring a function head to oversee Training Managers</t>
  </si>
  <si>
    <t>Trainer salary per year (₹)</t>
  </si>
  <si>
    <t>(2,40,000, 5,00,000, 3,60,000)</t>
  </si>
  <si>
    <t>Fixed salary of trainer</t>
  </si>
  <si>
    <t>Trainer reimbursements per year (₹)</t>
  </si>
  <si>
    <t>Training Manager salary per year (₹)</t>
  </si>
  <si>
    <t>(3,60,000, 8,25,000, 6,00,000)</t>
  </si>
  <si>
    <t>Fixed salary of Training Manager</t>
  </si>
  <si>
    <t>Training Manager reimbursements per year (₹)</t>
  </si>
  <si>
    <t>Training Head salary per year (₹)</t>
  </si>
  <si>
    <t>(9,60,000, 1,50,0000, 21,00,000)</t>
  </si>
  <si>
    <t>Fixed salary of Training Head</t>
  </si>
  <si>
    <t>Training Head reimbursements per year (₹)</t>
  </si>
  <si>
    <t>Overhead</t>
  </si>
  <si>
    <t>Office costs (₹)</t>
  </si>
  <si>
    <t>Absolute costs in INR for Rent, utilities and miscellaneous expenses for all offices (Head Office and any Regional Offices); assumed to grow above inflation</t>
  </si>
  <si>
    <t>Leadership costs (₹)</t>
  </si>
  <si>
    <t>Average total cost in INR of all CXO-level employees, as well as any regional business managers; assumed to grow above inflation</t>
  </si>
  <si>
    <t>Product development costs (₹)</t>
  </si>
  <si>
    <t>Average total cost in INR of all product development employees who are responsible for maintaining and updating the product; assumed to grow above inflation</t>
  </si>
  <si>
    <t>IT costs (₹)</t>
  </si>
  <si>
    <t>Absolute costs in INR for laptops, servers, and other hardware; assumed to grow above inflation</t>
  </si>
  <si>
    <t>Marketing costs (₹)</t>
  </si>
  <si>
    <t>Absolute costs in INR for cost of events, workshops, ads in print or digital media; assumed to grow above inflation</t>
  </si>
  <si>
    <t>HR/administration/other costs (₹)</t>
  </si>
  <si>
    <t>Average total cost in INR of all support staff (HR, administration etc.) employees and any other overhead costs; assumed to grow above inflation</t>
  </si>
  <si>
    <t>Total overheads as percent of revenue (%)</t>
  </si>
  <si>
    <t>(19%, 25%, 10%)</t>
  </si>
  <si>
    <t>PIPE assumption as a % of total revenue</t>
  </si>
  <si>
    <t>Rate of growth of salary, reimbursement, overheads y.o.y (%)</t>
  </si>
  <si>
    <t>(7%, 7%, 8%)</t>
  </si>
  <si>
    <t>Growth in salaries and reimbursement has been assumed to be above inflation</t>
  </si>
  <si>
    <t>Others</t>
  </si>
  <si>
    <t>Cash in hand  (₹)</t>
  </si>
  <si>
    <t xml:space="preserve">Money in the form of cash that the solution provider has to invest in the APS vertical </t>
  </si>
  <si>
    <t>Conversion to INR Crore</t>
  </si>
  <si>
    <t>Conversion metric from INR to INR Crore</t>
  </si>
  <si>
    <t>Key financial metrics</t>
  </si>
  <si>
    <t>Total investment needed (₹ Crore)</t>
  </si>
  <si>
    <t>Years to positive operating income</t>
  </si>
  <si>
    <t>Years to positive cash flow</t>
  </si>
  <si>
    <t xml:space="preserve">Number of schools </t>
  </si>
  <si>
    <t>Number of total schools</t>
  </si>
  <si>
    <t>Number of new schools</t>
  </si>
  <si>
    <t>Number of renewal schools</t>
  </si>
  <si>
    <t xml:space="preserve">Number of students </t>
  </si>
  <si>
    <t xml:space="preserve">Number of total students  </t>
  </si>
  <si>
    <t>Revenue (₹ Crore)</t>
  </si>
  <si>
    <t>Number of student units sold</t>
  </si>
  <si>
    <t>Number of classroom units sold to renewal schools (upsell)</t>
  </si>
  <si>
    <t>Number of classroom units sold to new schools</t>
  </si>
  <si>
    <t xml:space="preserve">Number of total classroom units sold </t>
  </si>
  <si>
    <t>Number of school units sold to new schools</t>
  </si>
  <si>
    <t>Price per student per year (₹)</t>
  </si>
  <si>
    <t>One-time price per classroom (₹)</t>
  </si>
  <si>
    <t>One-time price per school (₹)</t>
  </si>
  <si>
    <t>Product cost (₹ Crore)</t>
  </si>
  <si>
    <t>Cost of TLMs and books per student per year (₹)</t>
  </si>
  <si>
    <t>One-time cost of TLMs and books per classroom (₹)</t>
  </si>
  <si>
    <t>One-time cost of TLMs per school (₹)</t>
  </si>
  <si>
    <t>Sales</t>
  </si>
  <si>
    <t>Sales cost (₹ Crore)</t>
  </si>
  <si>
    <t>Number of salespeople</t>
  </si>
  <si>
    <t>Number of Sales Managers</t>
  </si>
  <si>
    <t>Number of Sales Heads</t>
  </si>
  <si>
    <t>Salesperson salary + reimbursements (₹)</t>
  </si>
  <si>
    <t>Sales Manager salary + reimbursement (₹)</t>
  </si>
  <si>
    <t>Sales Head salary + reimbursements (₹)</t>
  </si>
  <si>
    <t xml:space="preserve">Implementation </t>
  </si>
  <si>
    <t>Implementation cost (₹ Crore)</t>
  </si>
  <si>
    <t>Number of trainers</t>
  </si>
  <si>
    <t>Number of Training Managers</t>
  </si>
  <si>
    <t>Number of Training Heads</t>
  </si>
  <si>
    <t>Trainer salary + reimbursements (₹)</t>
  </si>
  <si>
    <t>Training Manager salary + reimbursements (₹)</t>
  </si>
  <si>
    <t>Training Head salary + reimbursements (₹)</t>
  </si>
  <si>
    <t xml:space="preserve">Direct cost </t>
  </si>
  <si>
    <t>Direct cost (₹ Crore)</t>
  </si>
  <si>
    <t xml:space="preserve">Gross income   </t>
  </si>
  <si>
    <t>Gross income (₹ Crore)</t>
  </si>
  <si>
    <t>Overhead cost</t>
  </si>
  <si>
    <t>Overhead cost (₹ Crore)</t>
  </si>
  <si>
    <t xml:space="preserve">Operating income </t>
  </si>
  <si>
    <t>Operating income (₹ Crore)</t>
  </si>
  <si>
    <t>Net cash flow (₹)</t>
  </si>
  <si>
    <t>Net cash flow (₹ Crore)</t>
  </si>
  <si>
    <t xml:space="preserve">Cash in hand </t>
  </si>
  <si>
    <t>Gross margin (%)</t>
  </si>
  <si>
    <t>Operating margin (%)</t>
  </si>
  <si>
    <t>Current year</t>
  </si>
  <si>
    <t xml:space="preserve">Number of total schools </t>
  </si>
  <si>
    <t>Number of students per school</t>
  </si>
  <si>
    <t xml:space="preserve">Number of students per school </t>
  </si>
  <si>
    <t xml:space="preserve">Number of total students </t>
  </si>
  <si>
    <t>Revenue/school</t>
  </si>
  <si>
    <t>Revenue/school (₹)</t>
  </si>
  <si>
    <t>Direct cost/school</t>
  </si>
  <si>
    <t>Total direct cost/school (₹)</t>
  </si>
  <si>
    <t>Product cost/school (₹)</t>
  </si>
  <si>
    <t>Sales cost/school (₹)</t>
  </si>
  <si>
    <t>Implementation cost/school (₹)</t>
  </si>
  <si>
    <t>Gross income/school</t>
  </si>
  <si>
    <t>Gross income/school (₹)</t>
  </si>
  <si>
    <t>Overhead cost/school</t>
  </si>
  <si>
    <t>Overhead cost/school (₹)</t>
  </si>
  <si>
    <t>Operating income/school</t>
  </si>
  <si>
    <t>Operating income/school (₹)</t>
  </si>
  <si>
    <t>Gross margin/school</t>
  </si>
  <si>
    <t>Gross margin/school (%)</t>
  </si>
  <si>
    <t>Operating margin/school</t>
  </si>
  <si>
    <t>Operating margin/school (%)</t>
  </si>
  <si>
    <t>Revenue/student</t>
  </si>
  <si>
    <t>Revenue/student (₹)</t>
  </si>
  <si>
    <t>Direct cost/student</t>
  </si>
  <si>
    <t>Total direct cost/student (₹)</t>
  </si>
  <si>
    <t>Product cost/student (₹)</t>
  </si>
  <si>
    <t>Sales cost/student (₹)</t>
  </si>
  <si>
    <t>Implementation cost/student (₹)</t>
  </si>
  <si>
    <t>Gross income/student</t>
  </si>
  <si>
    <t>Gross income/student (₹)</t>
  </si>
  <si>
    <t>Overhead cost/student</t>
  </si>
  <si>
    <t>Overhead cost/student (₹)</t>
  </si>
  <si>
    <t>Operating income/student</t>
  </si>
  <si>
    <t>Operating income/student (₹)</t>
  </si>
  <si>
    <t xml:space="preserve">Gross margin/student </t>
  </si>
  <si>
    <t>Gross margin/student (%)</t>
  </si>
  <si>
    <t>Operating margin/student</t>
  </si>
  <si>
    <t xml:space="preserve">Operating margin/student (%) </t>
  </si>
  <si>
    <t>Key output</t>
  </si>
  <si>
    <t>Key metrics</t>
  </si>
  <si>
    <t>Total revenue and net cash flow</t>
  </si>
  <si>
    <t>Years to achieve positive EBT</t>
  </si>
  <si>
    <t>Break-even period (years)</t>
  </si>
  <si>
    <t xml:space="preserve">Number of total schools and students </t>
  </si>
  <si>
    <t>CAGR for number of students (Y1-Y5)</t>
  </si>
  <si>
    <t>CAGR for number of schools (Y1 - Y5)</t>
  </si>
  <si>
    <t>CAGR: Compound Annual Growth Rate</t>
  </si>
  <si>
    <t>CAGR is the geometric average of the growth rate from the initial value to the end value over multiple time periods</t>
  </si>
  <si>
    <t>Cost of acquisition  (sales cost) per school</t>
  </si>
  <si>
    <t>Cost of acquisition in Y1 (% of revenue)</t>
  </si>
  <si>
    <t>Cost of acquisition in Y5 (% of revenue)</t>
  </si>
  <si>
    <t>Cost of implementation  per school</t>
  </si>
  <si>
    <t>Cost of implementation in Y1 (% of revenue)</t>
  </si>
  <si>
    <t>Cost of implementation in Y5 (% of revenue)</t>
  </si>
  <si>
    <t>Assumptions</t>
  </si>
  <si>
    <t>Number of APSs</t>
  </si>
  <si>
    <t>Price per child (₹)</t>
  </si>
  <si>
    <t>Average number of students per APS</t>
  </si>
  <si>
    <t>Renewals (%)</t>
  </si>
  <si>
    <t>One time cost of kits per APS (₹)</t>
  </si>
  <si>
    <t>Cost of student kit per child (₹)</t>
  </si>
  <si>
    <t># of APS serviced per trainer</t>
  </si>
  <si>
    <t xml:space="preserve"># of new APSs sold per salesperson </t>
  </si>
  <si>
    <t>Metric (%)</t>
  </si>
  <si>
    <t>Total number of children</t>
  </si>
  <si>
    <t>Revenue (%)</t>
  </si>
  <si>
    <t>Product cost (%)</t>
  </si>
  <si>
    <t>Implementation cost (%)</t>
  </si>
  <si>
    <t>School-level margin (%)</t>
  </si>
  <si>
    <t>Sales cost (%)</t>
  </si>
  <si>
    <t>Corporate overheads (%)</t>
  </si>
  <si>
    <t>Net Margin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</si>
</sst>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rgb="FFFFFFFF"/>
      <name val="Arial"/>
      <family val="2"/>
    </font>
    <font>
      <sz val="14"/>
      <color rgb="FF595959"/>
      <name val="Arial"/>
      <family val="2"/>
    </font>
    <font>
      <b/>
      <sz val="14"/>
      <color rgb="FF59595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AAA"/>
        <bgColor indexed="64"/>
      </patternFill>
    </fill>
    <fill>
      <patternFill patternType="solid">
        <fgColor rgb="FFE7EFF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6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quotePrefix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2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0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3" fillId="0" borderId="8" xfId="0" quotePrefix="1" applyFont="1" applyBorder="1" applyAlignment="1">
      <alignment horizontal="left"/>
    </xf>
    <xf numFmtId="0" fontId="0" fillId="0" borderId="7" xfId="0" applyFont="1" applyBorder="1"/>
    <xf numFmtId="0" fontId="0" fillId="0" borderId="5" xfId="0" applyFont="1" applyBorder="1"/>
    <xf numFmtId="0" fontId="3" fillId="0" borderId="0" xfId="0" applyFont="1" applyFill="1" applyBorder="1" applyAlignment="1">
      <alignment vertical="center"/>
    </xf>
    <xf numFmtId="0" fontId="0" fillId="0" borderId="9" xfId="0" quotePrefix="1" applyFont="1" applyBorder="1" applyAlignment="1">
      <alignment horizontal="left" indent="2"/>
    </xf>
    <xf numFmtId="0" fontId="0" fillId="0" borderId="0" xfId="0" applyFont="1" applyBorder="1"/>
    <xf numFmtId="0" fontId="0" fillId="0" borderId="6" xfId="0" applyFont="1" applyBorder="1"/>
    <xf numFmtId="0" fontId="3" fillId="0" borderId="9" xfId="0" quotePrefix="1" applyFont="1" applyBorder="1"/>
    <xf numFmtId="0" fontId="0" fillId="0" borderId="9" xfId="0" quotePrefix="1" applyBorder="1" applyAlignment="1">
      <alignment horizontal="left" indent="2"/>
    </xf>
    <xf numFmtId="0" fontId="3" fillId="0" borderId="9" xfId="0" quotePrefix="1" applyFont="1" applyBorder="1" applyAlignment="1">
      <alignment horizontal="left"/>
    </xf>
    <xf numFmtId="0" fontId="3" fillId="0" borderId="10" xfId="0" quotePrefix="1" applyFont="1" applyBorder="1" applyAlignment="1">
      <alignment horizontal="left"/>
    </xf>
    <xf numFmtId="0" fontId="0" fillId="0" borderId="11" xfId="0" applyFont="1" applyBorder="1"/>
    <xf numFmtId="0" fontId="0" fillId="0" borderId="12" xfId="0" applyFont="1" applyBorder="1"/>
    <xf numFmtId="0" fontId="3" fillId="0" borderId="0" xfId="0" applyFont="1" applyFill="1" applyBorder="1" applyAlignment="1">
      <alignment vertical="center" wrapText="1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7" fillId="0" borderId="0" xfId="0" applyFont="1"/>
    <xf numFmtId="2" fontId="7" fillId="0" borderId="0" xfId="0" applyNumberFormat="1" applyFont="1"/>
    <xf numFmtId="0" fontId="7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7" fillId="0" borderId="1" xfId="3" applyFont="1" applyFill="1" applyBorder="1" applyAlignment="1">
      <alignment horizontal="left" indent="1"/>
    </xf>
    <xf numFmtId="165" fontId="7" fillId="3" borderId="1" xfId="4" applyNumberFormat="1" applyFont="1" applyFill="1" applyBorder="1" applyAlignment="1">
      <alignment horizontal="right" indent="1"/>
    </xf>
    <xf numFmtId="165" fontId="7" fillId="0" borderId="1" xfId="4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left" indent="1"/>
    </xf>
    <xf numFmtId="165" fontId="7" fillId="4" borderId="1" xfId="4" applyNumberFormat="1" applyFont="1" applyFill="1" applyBorder="1"/>
    <xf numFmtId="49" fontId="7" fillId="0" borderId="1" xfId="0" applyNumberFormat="1" applyFont="1" applyBorder="1" applyAlignment="1">
      <alignment horizontal="left" indent="1"/>
    </xf>
    <xf numFmtId="9" fontId="7" fillId="3" borderId="1" xfId="4" applyNumberFormat="1" applyFont="1" applyFill="1" applyBorder="1" applyAlignment="1">
      <alignment horizontal="right"/>
    </xf>
    <xf numFmtId="9" fontId="7" fillId="3" borderId="1" xfId="1" applyFont="1" applyFill="1" applyBorder="1" applyAlignment="1">
      <alignment horizontal="right"/>
    </xf>
    <xf numFmtId="1" fontId="7" fillId="3" borderId="1" xfId="1" applyNumberFormat="1" applyFont="1" applyFill="1" applyBorder="1" applyAlignment="1">
      <alignment horizontal="right"/>
    </xf>
    <xf numFmtId="1" fontId="7" fillId="0" borderId="1" xfId="1" applyNumberFormat="1" applyFont="1" applyFill="1" applyBorder="1" applyAlignment="1">
      <alignment horizontal="right"/>
    </xf>
    <xf numFmtId="9" fontId="7" fillId="0" borderId="1" xfId="1" applyFont="1" applyFill="1" applyBorder="1" applyAlignment="1">
      <alignment horizontal="right"/>
    </xf>
    <xf numFmtId="0" fontId="8" fillId="0" borderId="1" xfId="3" applyFont="1" applyFill="1" applyBorder="1"/>
    <xf numFmtId="0" fontId="7" fillId="0" borderId="1" xfId="0" applyFont="1" applyFill="1" applyBorder="1"/>
    <xf numFmtId="165" fontId="9" fillId="0" borderId="1" xfId="4" applyNumberFormat="1" applyFont="1" applyFill="1" applyBorder="1"/>
    <xf numFmtId="165" fontId="9" fillId="0" borderId="1" xfId="4" applyNumberFormat="1" applyFont="1" applyFill="1" applyBorder="1" applyAlignment="1">
      <alignment horizontal="right"/>
    </xf>
    <xf numFmtId="0" fontId="7" fillId="0" borderId="0" xfId="0" applyFont="1" applyFill="1"/>
    <xf numFmtId="165" fontId="7" fillId="3" borderId="1" xfId="4" applyNumberFormat="1" applyFont="1" applyFill="1" applyBorder="1"/>
    <xf numFmtId="3" fontId="7" fillId="0" borderId="1" xfId="3" applyNumberFormat="1" applyFont="1" applyFill="1" applyBorder="1" applyAlignment="1">
      <alignment horizontal="left" indent="1"/>
    </xf>
    <xf numFmtId="9" fontId="7" fillId="3" borderId="1" xfId="4" applyNumberFormat="1" applyFont="1" applyFill="1" applyBorder="1"/>
    <xf numFmtId="0" fontId="10" fillId="0" borderId="1" xfId="0" applyFont="1" applyFill="1" applyBorder="1"/>
    <xf numFmtId="165" fontId="8" fillId="0" borderId="1" xfId="4" applyNumberFormat="1" applyFont="1" applyFill="1" applyBorder="1" applyAlignment="1">
      <alignment horizontal="left" vertical="top"/>
    </xf>
    <xf numFmtId="165" fontId="7" fillId="3" borderId="1" xfId="4" applyNumberFormat="1" applyFont="1" applyFill="1" applyBorder="1" applyAlignment="1">
      <alignment horizontal="right"/>
    </xf>
    <xf numFmtId="0" fontId="7" fillId="0" borderId="0" xfId="0" applyFont="1" applyBorder="1"/>
    <xf numFmtId="165" fontId="7" fillId="3" borderId="1" xfId="4" applyNumberFormat="1" applyFont="1" applyFill="1" applyBorder="1" applyAlignment="1">
      <alignment horizontal="left" vertical="top"/>
    </xf>
    <xf numFmtId="3" fontId="7" fillId="0" borderId="0" xfId="3" applyNumberFormat="1" applyFont="1" applyBorder="1" applyAlignment="1">
      <alignment horizontal="right" wrapText="1"/>
    </xf>
    <xf numFmtId="0" fontId="7" fillId="0" borderId="0" xfId="3" applyFont="1" applyBorder="1" applyAlignment="1">
      <alignment horizontal="right"/>
    </xf>
    <xf numFmtId="3" fontId="7" fillId="0" borderId="0" xfId="3" applyNumberFormat="1" applyFont="1" applyFill="1" applyBorder="1" applyAlignment="1">
      <alignment horizontal="center"/>
    </xf>
    <xf numFmtId="0" fontId="7" fillId="0" borderId="0" xfId="3" applyFont="1" applyBorder="1"/>
    <xf numFmtId="0" fontId="7" fillId="0" borderId="0" xfId="0" applyFont="1" applyBorder="1" applyAlignment="1">
      <alignment horizontal="right"/>
    </xf>
    <xf numFmtId="0" fontId="7" fillId="0" borderId="0" xfId="3" applyFont="1" applyFill="1" applyBorder="1" applyAlignment="1">
      <alignment horizontal="center"/>
    </xf>
    <xf numFmtId="0" fontId="7" fillId="0" borderId="0" xfId="0" applyFont="1" applyFill="1" applyBorder="1"/>
    <xf numFmtId="9" fontId="7" fillId="0" borderId="0" xfId="3" applyNumberFormat="1" applyFont="1" applyFill="1" applyBorder="1"/>
    <xf numFmtId="9" fontId="7" fillId="0" borderId="0" xfId="0" applyNumberFormat="1" applyFont="1" applyFill="1" applyBorder="1"/>
    <xf numFmtId="9" fontId="7" fillId="0" borderId="0" xfId="3" applyNumberFormat="1" applyFont="1" applyFill="1" applyBorder="1" applyAlignment="1">
      <alignment horizontal="center"/>
    </xf>
    <xf numFmtId="165" fontId="7" fillId="0" borderId="0" xfId="4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3" fontId="7" fillId="0" borderId="0" xfId="0" applyNumberFormat="1" applyFont="1" applyFill="1" applyBorder="1"/>
    <xf numFmtId="165" fontId="7" fillId="3" borderId="1" xfId="4" applyNumberFormat="1" applyFont="1" applyFill="1" applyBorder="1" applyAlignment="1">
      <alignment wrapText="1"/>
    </xf>
    <xf numFmtId="9" fontId="7" fillId="0" borderId="0" xfId="0" applyNumberFormat="1" applyFont="1" applyFill="1" applyBorder="1" applyAlignment="1">
      <alignment horizontal="right"/>
    </xf>
    <xf numFmtId="0" fontId="7" fillId="0" borderId="1" xfId="3" applyFont="1" applyBorder="1" applyAlignment="1">
      <alignment horizontal="left" indent="1"/>
    </xf>
    <xf numFmtId="165" fontId="7" fillId="0" borderId="1" xfId="4" applyNumberFormat="1" applyFont="1" applyBorder="1" applyAlignment="1">
      <alignment horizontal="right"/>
    </xf>
    <xf numFmtId="0" fontId="7" fillId="0" borderId="1" xfId="0" applyFont="1" applyBorder="1"/>
    <xf numFmtId="3" fontId="7" fillId="0" borderId="0" xfId="0" applyNumberFormat="1" applyFont="1" applyBorder="1"/>
    <xf numFmtId="2" fontId="0" fillId="0" borderId="1" xfId="0" applyNumberFormat="1" applyBorder="1" applyAlignment="1">
      <alignment horizontal="left" indent="1"/>
    </xf>
    <xf numFmtId="49" fontId="0" fillId="0" borderId="1" xfId="0" applyNumberFormat="1" applyBorder="1" applyAlignment="1">
      <alignment horizontal="left" indent="1"/>
    </xf>
    <xf numFmtId="49" fontId="0" fillId="0" borderId="0" xfId="0" applyNumberFormat="1" applyBorder="1" applyAlignment="1">
      <alignment horizontal="left"/>
    </xf>
    <xf numFmtId="0" fontId="8" fillId="0" borderId="1" xfId="3" applyFont="1" applyFill="1" applyBorder="1" applyAlignment="1"/>
    <xf numFmtId="0" fontId="7" fillId="0" borderId="1" xfId="0" applyFont="1" applyFill="1" applyBorder="1" applyAlignment="1">
      <alignment horizontal="left" indent="1"/>
    </xf>
    <xf numFmtId="165" fontId="11" fillId="0" borderId="1" xfId="4" applyNumberFormat="1" applyFont="1" applyFill="1" applyBorder="1" applyAlignment="1">
      <alignment horizontal="right"/>
    </xf>
    <xf numFmtId="0" fontId="7" fillId="3" borderId="1" xfId="0" applyFont="1" applyFill="1" applyBorder="1"/>
    <xf numFmtId="0" fontId="7" fillId="0" borderId="0" xfId="0" applyFont="1" applyBorder="1" applyAlignment="1">
      <alignment horizontal="left" indent="1"/>
    </xf>
    <xf numFmtId="0" fontId="7" fillId="0" borderId="0" xfId="0" applyFont="1" applyFill="1" applyBorder="1" applyAlignment="1">
      <alignment horizontal="left" indent="1"/>
    </xf>
    <xf numFmtId="0" fontId="7" fillId="0" borderId="0" xfId="0" applyFont="1" applyAlignment="1">
      <alignment vertical="center"/>
    </xf>
    <xf numFmtId="0" fontId="8" fillId="2" borderId="15" xfId="3" applyFont="1" applyFill="1" applyBorder="1" applyAlignment="1">
      <alignment horizontal="left" vertical="center"/>
    </xf>
    <xf numFmtId="43" fontId="14" fillId="4" borderId="1" xfId="5" applyNumberFormat="1" applyFont="1" applyFill="1" applyBorder="1"/>
    <xf numFmtId="165" fontId="14" fillId="4" borderId="16" xfId="4" applyNumberFormat="1" applyFont="1" applyFill="1" applyBorder="1"/>
    <xf numFmtId="165" fontId="14" fillId="4" borderId="1" xfId="4" applyNumberFormat="1" applyFont="1" applyFill="1" applyBorder="1" applyAlignment="1">
      <alignment horizontal="right"/>
    </xf>
    <xf numFmtId="0" fontId="7" fillId="0" borderId="0" xfId="3" applyFont="1"/>
    <xf numFmtId="0" fontId="8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1" fontId="14" fillId="0" borderId="0" xfId="3" applyNumberFormat="1" applyFont="1" applyFill="1" applyBorder="1" applyAlignment="1">
      <alignment horizontal="right"/>
    </xf>
    <xf numFmtId="0" fontId="7" fillId="0" borderId="0" xfId="3" applyFont="1" applyFill="1" applyBorder="1"/>
    <xf numFmtId="0" fontId="7" fillId="0" borderId="0" xfId="3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8" fillId="2" borderId="14" xfId="3" applyFont="1" applyFill="1" applyBorder="1"/>
    <xf numFmtId="0" fontId="7" fillId="2" borderId="1" xfId="0" applyFont="1" applyFill="1" applyBorder="1" applyAlignment="1">
      <alignment vertical="center"/>
    </xf>
    <xf numFmtId="0" fontId="8" fillId="2" borderId="1" xfId="3" applyFont="1" applyFill="1" applyBorder="1"/>
    <xf numFmtId="0" fontId="8" fillId="2" borderId="1" xfId="3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14" fillId="0" borderId="1" xfId="3" applyFont="1" applyBorder="1"/>
    <xf numFmtId="165" fontId="14" fillId="4" borderId="1" xfId="4" applyNumberFormat="1" applyFont="1" applyFill="1" applyBorder="1"/>
    <xf numFmtId="0" fontId="7" fillId="0" borderId="1" xfId="3" applyFont="1" applyBorder="1"/>
    <xf numFmtId="0" fontId="7" fillId="0" borderId="1" xfId="3" applyFont="1" applyFill="1" applyBorder="1"/>
    <xf numFmtId="165" fontId="7" fillId="4" borderId="1" xfId="4" quotePrefix="1" applyNumberFormat="1" applyFont="1" applyFill="1" applyBorder="1"/>
    <xf numFmtId="0" fontId="8" fillId="0" borderId="1" xfId="3" applyFont="1" applyFill="1" applyBorder="1" applyAlignment="1">
      <alignment vertical="center"/>
    </xf>
    <xf numFmtId="165" fontId="7" fillId="0" borderId="1" xfId="4" applyNumberFormat="1" applyFont="1" applyFill="1" applyBorder="1"/>
    <xf numFmtId="9" fontId="7" fillId="0" borderId="1" xfId="1" applyFont="1" applyFill="1" applyBorder="1"/>
    <xf numFmtId="0" fontId="8" fillId="2" borderId="1" xfId="3" applyFont="1" applyFill="1" applyBorder="1" applyAlignment="1">
      <alignment vertical="center"/>
    </xf>
    <xf numFmtId="43" fontId="14" fillId="4" borderId="1" xfId="4" applyNumberFormat="1" applyFont="1" applyFill="1" applyBorder="1"/>
    <xf numFmtId="165" fontId="14" fillId="0" borderId="1" xfId="4" applyNumberFormat="1" applyFont="1" applyFill="1" applyBorder="1"/>
    <xf numFmtId="0" fontId="14" fillId="0" borderId="1" xfId="3" applyFont="1" applyFill="1" applyBorder="1"/>
    <xf numFmtId="1" fontId="7" fillId="0" borderId="0" xfId="0" applyNumberFormat="1" applyFont="1"/>
    <xf numFmtId="165" fontId="7" fillId="4" borderId="1" xfId="4" applyNumberFormat="1" applyFont="1" applyFill="1" applyBorder="1" applyAlignment="1">
      <alignment horizontal="right"/>
    </xf>
    <xf numFmtId="0" fontId="7" fillId="0" borderId="0" xfId="0" applyFont="1" applyFill="1" applyAlignment="1"/>
    <xf numFmtId="0" fontId="7" fillId="0" borderId="0" xfId="0" applyFont="1" applyAlignment="1"/>
    <xf numFmtId="0" fontId="14" fillId="0" borderId="1" xfId="0" applyFont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43" fontId="14" fillId="0" borderId="1" xfId="4" applyNumberFormat="1" applyFont="1" applyFill="1" applyBorder="1"/>
    <xf numFmtId="0" fontId="8" fillId="2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5" fillId="0" borderId="1" xfId="3" applyFont="1" applyFill="1" applyBorder="1"/>
    <xf numFmtId="43" fontId="7" fillId="4" borderId="1" xfId="4" applyNumberFormat="1" applyFont="1" applyFill="1" applyBorder="1"/>
    <xf numFmtId="2" fontId="7" fillId="4" borderId="1" xfId="3" applyNumberFormat="1" applyFont="1" applyFill="1" applyBorder="1"/>
    <xf numFmtId="0" fontId="9" fillId="0" borderId="0" xfId="0" applyFont="1" applyFill="1"/>
    <xf numFmtId="9" fontId="7" fillId="4" borderId="1" xfId="3" applyNumberFormat="1" applyFont="1" applyFill="1" applyBorder="1" applyAlignment="1">
      <alignment horizontal="right"/>
    </xf>
    <xf numFmtId="9" fontId="7" fillId="4" borderId="1" xfId="3" applyNumberFormat="1" applyFont="1" applyFill="1" applyBorder="1"/>
    <xf numFmtId="0" fontId="7" fillId="0" borderId="0" xfId="3" applyFont="1" applyAlignment="1">
      <alignment vertical="center"/>
    </xf>
    <xf numFmtId="0" fontId="7" fillId="0" borderId="0" xfId="3" applyFont="1" applyFill="1"/>
    <xf numFmtId="43" fontId="7" fillId="0" borderId="0" xfId="3" applyNumberFormat="1" applyFont="1" applyFill="1"/>
    <xf numFmtId="0" fontId="7" fillId="0" borderId="0" xfId="0" applyFont="1" applyAlignment="1">
      <alignment horizontal="center"/>
    </xf>
    <xf numFmtId="0" fontId="7" fillId="2" borderId="1" xfId="0" applyFont="1" applyFill="1" applyBorder="1"/>
    <xf numFmtId="0" fontId="9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0" borderId="1" xfId="0" applyFont="1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0" fontId="14" fillId="0" borderId="1" xfId="0" applyFont="1" applyBorder="1"/>
    <xf numFmtId="0" fontId="7" fillId="5" borderId="0" xfId="0" applyFont="1" applyFill="1"/>
    <xf numFmtId="0" fontId="8" fillId="5" borderId="1" xfId="0" applyFont="1" applyFill="1" applyBorder="1"/>
    <xf numFmtId="0" fontId="7" fillId="5" borderId="1" xfId="0" applyFont="1" applyFill="1" applyBorder="1"/>
    <xf numFmtId="0" fontId="7" fillId="5" borderId="1" xfId="0" applyFont="1" applyFill="1" applyBorder="1" applyAlignment="1">
      <alignment horizontal="right"/>
    </xf>
    <xf numFmtId="10" fontId="7" fillId="5" borderId="1" xfId="4" applyNumberFormat="1" applyFont="1" applyFill="1" applyBorder="1"/>
    <xf numFmtId="0" fontId="0" fillId="5" borderId="0" xfId="0" applyFill="1"/>
    <xf numFmtId="0" fontId="0" fillId="0" borderId="0" xfId="0" applyFill="1"/>
    <xf numFmtId="0" fontId="7" fillId="0" borderId="1" xfId="0" applyFont="1" applyFill="1" applyBorder="1" applyAlignment="1">
      <alignment horizontal="right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right"/>
    </xf>
    <xf numFmtId="9" fontId="7" fillId="4" borderId="1" xfId="4" applyNumberFormat="1" applyFont="1" applyFill="1" applyBorder="1" applyAlignment="1">
      <alignment horizontal="right"/>
    </xf>
    <xf numFmtId="9" fontId="7" fillId="4" borderId="1" xfId="4" applyNumberFormat="1" applyFont="1" applyFill="1" applyBorder="1"/>
    <xf numFmtId="9" fontId="7" fillId="4" borderId="1" xfId="1" applyFont="1" applyFill="1" applyBorder="1"/>
    <xf numFmtId="9" fontId="7" fillId="0" borderId="0" xfId="1" applyFont="1" applyAlignment="1">
      <alignment horizontal="center"/>
    </xf>
    <xf numFmtId="9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1" fontId="14" fillId="0" borderId="1" xfId="0" applyNumberFormat="1" applyFont="1" applyFill="1" applyBorder="1"/>
    <xf numFmtId="0" fontId="9" fillId="0" borderId="1" xfId="0" applyFont="1" applyFill="1" applyBorder="1"/>
    <xf numFmtId="165" fontId="0" fillId="0" borderId="1" xfId="4" applyNumberFormat="1" applyFont="1" applyFill="1" applyBorder="1" applyAlignment="1">
      <alignment horizontal="right"/>
    </xf>
    <xf numFmtId="165" fontId="0" fillId="0" borderId="1" xfId="4" applyNumberFormat="1" applyFont="1" applyFill="1" applyBorder="1"/>
    <xf numFmtId="166" fontId="14" fillId="4" borderId="1" xfId="4" applyNumberFormat="1" applyFont="1" applyFill="1" applyBorder="1" applyAlignment="1">
      <alignment horizontal="right"/>
    </xf>
    <xf numFmtId="166" fontId="7" fillId="4" borderId="1" xfId="4" applyNumberFormat="1" applyFont="1" applyFill="1" applyBorder="1" applyAlignment="1">
      <alignment horizontal="right"/>
    </xf>
    <xf numFmtId="166" fontId="0" fillId="0" borderId="1" xfId="4" applyNumberFormat="1" applyFont="1" applyFill="1" applyBorder="1" applyAlignment="1">
      <alignment horizontal="right"/>
    </xf>
    <xf numFmtId="166" fontId="7" fillId="5" borderId="1" xfId="4" applyNumberFormat="1" applyFont="1" applyFill="1" applyBorder="1" applyAlignment="1">
      <alignment horizontal="right"/>
    </xf>
    <xf numFmtId="166" fontId="7" fillId="0" borderId="1" xfId="4" applyNumberFormat="1" applyFont="1" applyFill="1" applyBorder="1" applyAlignment="1">
      <alignment horizontal="right"/>
    </xf>
    <xf numFmtId="165" fontId="14" fillId="0" borderId="1" xfId="4" applyNumberFormat="1" applyFont="1" applyFill="1" applyBorder="1" applyAlignment="1">
      <alignment horizontal="right"/>
    </xf>
    <xf numFmtId="9" fontId="7" fillId="4" borderId="1" xfId="1" applyFont="1" applyFill="1" applyBorder="1" applyAlignment="1">
      <alignment horizontal="right"/>
    </xf>
    <xf numFmtId="9" fontId="7" fillId="0" borderId="1" xfId="1" applyFont="1" applyBorder="1" applyAlignment="1">
      <alignment horizontal="right"/>
    </xf>
    <xf numFmtId="9" fontId="7" fillId="0" borderId="1" xfId="1" applyFont="1" applyBorder="1"/>
    <xf numFmtId="0" fontId="0" fillId="0" borderId="8" xfId="0" applyBorder="1"/>
    <xf numFmtId="0" fontId="0" fillId="0" borderId="7" xfId="0" applyBorder="1"/>
    <xf numFmtId="0" fontId="0" fillId="0" borderId="5" xfId="0" applyBorder="1"/>
    <xf numFmtId="0" fontId="0" fillId="0" borderId="9" xfId="0" applyBorder="1"/>
    <xf numFmtId="0" fontId="0" fillId="0" borderId="0" xfId="0" applyBorder="1"/>
    <xf numFmtId="0" fontId="0" fillId="0" borderId="6" xfId="0" applyBorder="1"/>
    <xf numFmtId="0" fontId="3" fillId="0" borderId="8" xfId="0" applyFont="1" applyBorder="1"/>
    <xf numFmtId="0" fontId="3" fillId="0" borderId="7" xfId="0" applyFont="1" applyBorder="1"/>
    <xf numFmtId="43" fontId="14" fillId="4" borderId="5" xfId="5" applyNumberFormat="1" applyFont="1" applyFill="1" applyBorder="1"/>
    <xf numFmtId="0" fontId="3" fillId="0" borderId="9" xfId="0" applyFont="1" applyBorder="1"/>
    <xf numFmtId="0" fontId="3" fillId="0" borderId="0" xfId="0" applyFont="1" applyBorder="1"/>
    <xf numFmtId="165" fontId="14" fillId="4" borderId="6" xfId="5" applyNumberFormat="1" applyFont="1" applyFill="1" applyBorder="1"/>
    <xf numFmtId="0" fontId="3" fillId="0" borderId="10" xfId="0" applyFont="1" applyBorder="1"/>
    <xf numFmtId="0" fontId="3" fillId="0" borderId="11" xfId="0" applyFont="1" applyBorder="1"/>
    <xf numFmtId="0" fontId="0" fillId="0" borderId="12" xfId="0" applyBorder="1"/>
    <xf numFmtId="165" fontId="14" fillId="4" borderId="12" xfId="5" applyNumberFormat="1" applyFont="1" applyFill="1" applyBorder="1"/>
    <xf numFmtId="0" fontId="0" fillId="0" borderId="10" xfId="0" applyBorder="1"/>
    <xf numFmtId="0" fontId="0" fillId="0" borderId="11" xfId="0" applyBorder="1"/>
    <xf numFmtId="9" fontId="14" fillId="4" borderId="5" xfId="1" applyFont="1" applyFill="1" applyBorder="1"/>
    <xf numFmtId="9" fontId="14" fillId="4" borderId="12" xfId="1" applyFont="1" applyFill="1" applyBorder="1"/>
    <xf numFmtId="0" fontId="16" fillId="0" borderId="9" xfId="0" applyFont="1" applyBorder="1"/>
    <xf numFmtId="9" fontId="14" fillId="4" borderId="13" xfId="1" applyFont="1" applyFill="1" applyBorder="1"/>
    <xf numFmtId="9" fontId="14" fillId="4" borderId="14" xfId="1" applyFont="1" applyFill="1" applyBorder="1"/>
    <xf numFmtId="0" fontId="17" fillId="0" borderId="0" xfId="0" applyFont="1"/>
    <xf numFmtId="0" fontId="18" fillId="6" borderId="18" xfId="0" applyFont="1" applyFill="1" applyBorder="1" applyAlignment="1">
      <alignment horizontal="left" wrapText="1" readingOrder="1"/>
    </xf>
    <xf numFmtId="0" fontId="18" fillId="6" borderId="18" xfId="0" applyFont="1" applyFill="1" applyBorder="1" applyAlignment="1">
      <alignment horizontal="right" vertical="center" wrapText="1" readingOrder="1"/>
    </xf>
    <xf numFmtId="0" fontId="19" fillId="7" borderId="18" xfId="0" applyFont="1" applyFill="1" applyBorder="1" applyAlignment="1">
      <alignment horizontal="left" vertical="center" wrapText="1" indent="1" readingOrder="1"/>
    </xf>
    <xf numFmtId="165" fontId="19" fillId="7" borderId="18" xfId="0" applyNumberFormat="1" applyFont="1" applyFill="1" applyBorder="1" applyAlignment="1">
      <alignment horizontal="right" vertical="center" wrapText="1" readingOrder="1"/>
    </xf>
    <xf numFmtId="9" fontId="19" fillId="7" borderId="18" xfId="1" applyFont="1" applyFill="1" applyBorder="1" applyAlignment="1">
      <alignment horizontal="right" vertical="center" wrapText="1" readingOrder="1"/>
    </xf>
    <xf numFmtId="0" fontId="18" fillId="6" borderId="18" xfId="0" applyFont="1" applyFill="1" applyBorder="1" applyAlignment="1">
      <alignment horizontal="left" vertical="center" wrapText="1" readingOrder="1"/>
    </xf>
    <xf numFmtId="0" fontId="17" fillId="0" borderId="0" xfId="0" applyFont="1" applyAlignment="1">
      <alignment vertical="center"/>
    </xf>
    <xf numFmtId="0" fontId="20" fillId="7" borderId="18" xfId="0" applyFont="1" applyFill="1" applyBorder="1" applyAlignment="1">
      <alignment horizontal="left" vertical="center" wrapText="1" indent="1" readingOrder="1"/>
    </xf>
    <xf numFmtId="2" fontId="20" fillId="7" borderId="18" xfId="0" applyNumberFormat="1" applyFont="1" applyFill="1" applyBorder="1" applyAlignment="1">
      <alignment horizontal="right" vertical="center" wrapText="1" readingOrder="1"/>
    </xf>
    <xf numFmtId="164" fontId="17" fillId="0" borderId="0" xfId="0" applyNumberFormat="1" applyFont="1" applyAlignment="1">
      <alignment vertical="center"/>
    </xf>
    <xf numFmtId="165" fontId="20" fillId="7" borderId="18" xfId="0" applyNumberFormat="1" applyFont="1" applyFill="1" applyBorder="1" applyAlignment="1">
      <alignment horizontal="right" vertical="center" wrapText="1" readingOrder="1"/>
    </xf>
    <xf numFmtId="9" fontId="19" fillId="7" borderId="18" xfId="0" applyNumberFormat="1" applyFont="1" applyFill="1" applyBorder="1" applyAlignment="1">
      <alignment horizontal="right" vertical="center" wrapText="1" readingOrder="1"/>
    </xf>
    <xf numFmtId="9" fontId="20" fillId="7" borderId="18" xfId="0" applyNumberFormat="1" applyFont="1" applyFill="1" applyBorder="1" applyAlignment="1">
      <alignment horizontal="right" vertical="center" wrapText="1" readingOrder="1"/>
    </xf>
    <xf numFmtId="9" fontId="7" fillId="0" borderId="0" xfId="1" applyFont="1" applyFill="1"/>
    <xf numFmtId="2" fontId="14" fillId="0" borderId="1" xfId="1" applyNumberFormat="1" applyFont="1" applyFill="1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2" xfId="0" quotePrefix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/>
    </xf>
    <xf numFmtId="0" fontId="8" fillId="2" borderId="11" xfId="3" applyFont="1" applyFill="1" applyBorder="1" applyAlignment="1">
      <alignment horizontal="center"/>
    </xf>
    <xf numFmtId="0" fontId="8" fillId="2" borderId="12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8" fillId="2" borderId="4" xfId="3" applyFont="1" applyFill="1" applyBorder="1" applyAlignment="1">
      <alignment horizontal="center"/>
    </xf>
    <xf numFmtId="0" fontId="8" fillId="2" borderId="13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6">
    <cellStyle name="Comma 2" xfId="4"/>
    <cellStyle name="Comma 2 2" xfId="5"/>
    <cellStyle name="Hyperlink" xfId="2" builtinId="8"/>
    <cellStyle name="Normal" xfId="0" builtinId="0"/>
    <cellStyle name="Normal 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566065490833792E-2"/>
          <c:y val="6.1170907355588819E-2"/>
          <c:w val="0.57541441354279588"/>
          <c:h val="0.745707034554565"/>
        </c:manualLayout>
      </c:layout>
      <c:lineChart>
        <c:grouping val="standard"/>
        <c:varyColors val="0"/>
        <c:ser>
          <c:idx val="0"/>
          <c:order val="0"/>
          <c:tx>
            <c:strRef>
              <c:f>'School economics '!$C$13</c:f>
              <c:strCache>
                <c:ptCount val="1"/>
                <c:pt idx="0">
                  <c:v>Implementation cost/school (₹)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'School economics '!$E$13:$I$13</c:f>
              <c:numCache>
                <c:formatCode>_(* #,##0_);_(* \(#,##0\);_(* "-"??_);_(@_)</c:formatCode>
                <c:ptCount val="3"/>
                <c:pt idx="0">
                  <c:v>69695</c:v>
                </c:pt>
                <c:pt idx="1">
                  <c:v>62948.124327868863</c:v>
                </c:pt>
                <c:pt idx="2">
                  <c:v>62371.224698216298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B-4A32-BAB2-143BF4D7C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524736"/>
        <c:axId val="49527808"/>
      </c:lineChart>
      <c:catAx>
        <c:axId val="49524736"/>
        <c:scaling>
          <c:orientation val="minMax"/>
        </c:scaling>
        <c:delete val="0"/>
        <c:axPos val="b"/>
        <c:majorTickMark val="out"/>
        <c:minorTickMark val="none"/>
        <c:tickLblPos val="nextTo"/>
        <c:crossAx val="49527808"/>
        <c:crosses val="autoZero"/>
        <c:auto val="1"/>
        <c:lblAlgn val="ctr"/>
        <c:lblOffset val="100"/>
        <c:noMultiLvlLbl val="0"/>
      </c:catAx>
      <c:valAx>
        <c:axId val="49527808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crossAx val="49524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20944582355165"/>
          <c:y val="6.0919175226553469E-2"/>
          <c:w val="0.65137257985405173"/>
          <c:h val="0.7193186654137369"/>
        </c:manualLayout>
      </c:layout>
      <c:lineChart>
        <c:grouping val="standard"/>
        <c:varyColors val="0"/>
        <c:ser>
          <c:idx val="0"/>
          <c:order val="0"/>
          <c:tx>
            <c:strRef>
              <c:f>'School economics '!$C$12</c:f>
              <c:strCache>
                <c:ptCount val="1"/>
                <c:pt idx="0">
                  <c:v>Sales cost/school (₹)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'School economics '!$E$12:$I$12</c:f>
              <c:numCache>
                <c:formatCode>_(* #,##0_);_(* \(#,##0\);_(* "-"??_);_(@_)</c:formatCode>
                <c:ptCount val="3"/>
                <c:pt idx="0">
                  <c:v>99375</c:v>
                </c:pt>
                <c:pt idx="1">
                  <c:v>58574.55737704919</c:v>
                </c:pt>
                <c:pt idx="2">
                  <c:v>38620.198891330372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19-4A06-B8CE-5916EEC12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180096"/>
        <c:axId val="50181632"/>
      </c:lineChart>
      <c:catAx>
        <c:axId val="50180096"/>
        <c:scaling>
          <c:orientation val="minMax"/>
        </c:scaling>
        <c:delete val="0"/>
        <c:axPos val="b"/>
        <c:majorTickMark val="out"/>
        <c:minorTickMark val="none"/>
        <c:tickLblPos val="nextTo"/>
        <c:crossAx val="50181632"/>
        <c:crosses val="autoZero"/>
        <c:auto val="1"/>
        <c:lblAlgn val="ctr"/>
        <c:lblOffset val="100"/>
        <c:noMultiLvlLbl val="0"/>
      </c:catAx>
      <c:valAx>
        <c:axId val="50181632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crossAx val="50180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46495799772879"/>
          <c:y val="5.9213438320209977E-2"/>
          <c:w val="0.6436276124510224"/>
          <c:h val="0.83890645669291342"/>
        </c:manualLayout>
      </c:layout>
      <c:lineChart>
        <c:grouping val="standard"/>
        <c:varyColors val="0"/>
        <c:ser>
          <c:idx val="0"/>
          <c:order val="0"/>
          <c:tx>
            <c:strRef>
              <c:f>'Business model'!$C$15</c:f>
              <c:strCache>
                <c:ptCount val="1"/>
                <c:pt idx="0">
                  <c:v>Revenue (₹ Crore)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1.7274472168905951E-2"/>
                  <c:y val="-8.0160303775992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FA-4A57-9D11-03C13C800DB8}"/>
                </c:ext>
              </c:extLst>
            </c:dLbl>
            <c:dLbl>
              <c:idx val="1"/>
              <c:layout>
                <c:manualLayout>
                  <c:x val="0"/>
                  <c:y val="-8.550432402772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FA-4A57-9D11-03C13C800DB8}"/>
                </c:ext>
              </c:extLst>
            </c:dLbl>
            <c:dLbl>
              <c:idx val="2"/>
              <c:layout>
                <c:manualLayout>
                  <c:x val="-4.7984644913627639E-2"/>
                  <c:y val="-0.154976587300251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FA-4A57-9D11-03C13C800DB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'Business model'!$E$15:$I$15</c:f>
              <c:numCache>
                <c:formatCode>_(* #,##0.00_);_(* \(#,##0.00\);_(* "-"??_);_(@_)</c:formatCode>
                <c:ptCount val="5"/>
                <c:pt idx="0">
                  <c:v>0.46683000000000002</c:v>
                </c:pt>
                <c:pt idx="1">
                  <c:v>1.3049487359999998</c:v>
                </c:pt>
                <c:pt idx="2">
                  <c:v>2.5863590188800001</c:v>
                </c:pt>
                <c:pt idx="3">
                  <c:v>5.2009701929640002</c:v>
                </c:pt>
                <c:pt idx="4">
                  <c:v>9.4241035095480008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FA-4A57-9D11-03C13C800DB8}"/>
            </c:ext>
          </c:extLst>
        </c:ser>
        <c:ser>
          <c:idx val="1"/>
          <c:order val="1"/>
          <c:tx>
            <c:strRef>
              <c:f>'Business model'!$C$54</c:f>
              <c:strCache>
                <c:ptCount val="1"/>
                <c:pt idx="0">
                  <c:v>Net cash flow (₹ Crore)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1.9193857965451055E-3"/>
                  <c:y val="5.3440202517328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FA-4A57-9D11-03C13C800DB8}"/>
                </c:ext>
              </c:extLst>
            </c:dLbl>
            <c:dLbl>
              <c:idx val="1"/>
              <c:layout>
                <c:manualLayout>
                  <c:x val="0"/>
                  <c:y val="4.2752162013862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FA-4A57-9D11-03C13C800DB8}"/>
                </c:ext>
              </c:extLst>
            </c:dLbl>
            <c:dLbl>
              <c:idx val="2"/>
              <c:layout>
                <c:manualLayout>
                  <c:x val="0"/>
                  <c:y val="-5.8784222769060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FA-4A57-9D11-03C13C800DB8}"/>
                </c:ext>
              </c:extLst>
            </c:dLbl>
            <c:dLbl>
              <c:idx val="3"/>
              <c:layout>
                <c:manualLayout>
                  <c:x val="2.6871401151631478E-2"/>
                  <c:y val="-2.1376081006931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FA-4A57-9D11-03C13C800DB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'Business model'!$E$54:$I$54</c:f>
              <c:numCache>
                <c:formatCode>_(* #,##0.00_);_(* \(#,##0.00\);_(* "-"??_);_(@_)</c:formatCode>
                <c:ptCount val="5"/>
                <c:pt idx="0">
                  <c:v>-0.61326587500000007</c:v>
                </c:pt>
                <c:pt idx="1">
                  <c:v>-0.92085056940000032</c:v>
                </c:pt>
                <c:pt idx="2">
                  <c:v>-1.2356064482770002</c:v>
                </c:pt>
                <c:pt idx="3">
                  <c:v>-0.80405235515714657</c:v>
                </c:pt>
                <c:pt idx="4">
                  <c:v>0.92421688203210572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9FA-4A57-9D11-03C13C80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412160"/>
        <c:axId val="50426240"/>
      </c:lineChart>
      <c:catAx>
        <c:axId val="50412160"/>
        <c:scaling>
          <c:orientation val="minMax"/>
        </c:scaling>
        <c:delete val="0"/>
        <c:axPos val="b"/>
        <c:majorTickMark val="out"/>
        <c:minorTickMark val="none"/>
        <c:tickLblPos val="nextTo"/>
        <c:crossAx val="50426240"/>
        <c:crosses val="autoZero"/>
        <c:auto val="1"/>
        <c:lblAlgn val="ctr"/>
        <c:lblOffset val="100"/>
        <c:noMultiLvlLbl val="0"/>
      </c:catAx>
      <c:valAx>
        <c:axId val="50426240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crossAx val="50412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3240260436679E-2"/>
          <c:y val="6.1546990023854574E-2"/>
          <c:w val="0.55727987690152092"/>
          <c:h val="0.72196956304439397"/>
        </c:manualLayout>
      </c:layout>
      <c:lineChart>
        <c:grouping val="standard"/>
        <c:varyColors val="0"/>
        <c:ser>
          <c:idx val="0"/>
          <c:order val="0"/>
          <c:tx>
            <c:strRef>
              <c:f>'Business model'!$C$9</c:f>
              <c:strCache>
                <c:ptCount val="1"/>
                <c:pt idx="0">
                  <c:v>Number of total schools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7486515349147255E-17"/>
                  <c:y val="-4.9891639549272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2A-4D21-91C3-904D1D86ABEF}"/>
                </c:ext>
              </c:extLst>
            </c:dLbl>
            <c:dLbl>
              <c:idx val="1"/>
              <c:layout>
                <c:manualLayout>
                  <c:x val="-1.9076418932579729E-3"/>
                  <c:y val="-5.5435155054747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2A-4D21-91C3-904D1D86ABEF}"/>
                </c:ext>
              </c:extLst>
            </c:dLbl>
            <c:dLbl>
              <c:idx val="2"/>
              <c:layout>
                <c:manualLayout>
                  <c:x val="-3.815283786515946E-2"/>
                  <c:y val="-6.6522186065697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2A-4D21-91C3-904D1D86ABEF}"/>
                </c:ext>
              </c:extLst>
            </c:dLbl>
            <c:dLbl>
              <c:idx val="3"/>
              <c:layout>
                <c:manualLayout>
                  <c:x val="-3.815283786515946E-2"/>
                  <c:y val="-6.6522186065697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2A-4D21-91C3-904D1D86ABEF}"/>
                </c:ext>
              </c:extLst>
            </c:dLbl>
            <c:dLbl>
              <c:idx val="4"/>
              <c:layout>
                <c:manualLayout>
                  <c:x val="-1.1445851359547768E-2"/>
                  <c:y val="4.9891639549272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2A-4D21-91C3-904D1D86ABE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'Business model'!$E$9:$I$9</c:f>
              <c:numCache>
                <c:formatCode>_(* #,##0_);_(* \(#,##0\);_(* "-"??_);_(@_)</c:formatCode>
                <c:ptCount val="5"/>
                <c:pt idx="0">
                  <c:v>32</c:v>
                </c:pt>
                <c:pt idx="1">
                  <c:v>64</c:v>
                </c:pt>
                <c:pt idx="2">
                  <c:v>122</c:v>
                </c:pt>
                <c:pt idx="3">
                  <c:v>187</c:v>
                </c:pt>
                <c:pt idx="4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2A-4D21-91C3-904D1D86A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40832"/>
        <c:axId val="50459008"/>
      </c:lineChart>
      <c:lineChart>
        <c:grouping val="standard"/>
        <c:varyColors val="0"/>
        <c:ser>
          <c:idx val="1"/>
          <c:order val="1"/>
          <c:tx>
            <c:strRef>
              <c:f>'Business model'!$C$13</c:f>
              <c:strCache>
                <c:ptCount val="1"/>
                <c:pt idx="0">
                  <c:v>Number of total students  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1.144585135954782E-2"/>
                  <c:y val="4.9891639549272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2A-4D21-91C3-904D1D86ABEF}"/>
                </c:ext>
              </c:extLst>
            </c:dLbl>
            <c:dLbl>
              <c:idx val="4"/>
              <c:layout>
                <c:manualLayout>
                  <c:x val="-6.867510815728696E-2"/>
                  <c:y val="-6.65221860656971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2A-4D21-91C3-904D1D86ABE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'Business model'!$E$13:$I$13</c:f>
              <c:numCache>
                <c:formatCode>_(* #,##0_);_(* \(#,##0\);_(* "-"??_);_(@_)</c:formatCode>
                <c:ptCount val="5"/>
                <c:pt idx="0">
                  <c:v>2880</c:v>
                </c:pt>
                <c:pt idx="1">
                  <c:v>7680</c:v>
                </c:pt>
                <c:pt idx="2">
                  <c:v>14640</c:v>
                </c:pt>
                <c:pt idx="3">
                  <c:v>28050</c:v>
                </c:pt>
                <c:pt idx="4">
                  <c:v>48600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A2A-4D21-91C3-904D1D86A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62080"/>
        <c:axId val="50460544"/>
      </c:lineChart>
      <c:catAx>
        <c:axId val="50440832"/>
        <c:scaling>
          <c:orientation val="minMax"/>
        </c:scaling>
        <c:delete val="0"/>
        <c:axPos val="b"/>
        <c:majorTickMark val="out"/>
        <c:minorTickMark val="none"/>
        <c:tickLblPos val="nextTo"/>
        <c:crossAx val="50459008"/>
        <c:crosses val="autoZero"/>
        <c:auto val="1"/>
        <c:lblAlgn val="ctr"/>
        <c:lblOffset val="100"/>
        <c:noMultiLvlLbl val="0"/>
      </c:catAx>
      <c:valAx>
        <c:axId val="50459008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crossAx val="50440832"/>
        <c:crosses val="autoZero"/>
        <c:crossBetween val="between"/>
      </c:valAx>
      <c:valAx>
        <c:axId val="50460544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crossAx val="50462080"/>
        <c:crosses val="max"/>
        <c:crossBetween val="between"/>
      </c:valAx>
      <c:catAx>
        <c:axId val="50462080"/>
        <c:scaling>
          <c:orientation val="minMax"/>
        </c:scaling>
        <c:delete val="1"/>
        <c:axPos val="b"/>
        <c:majorTickMark val="out"/>
        <c:minorTickMark val="none"/>
        <c:tickLblPos val="nextTo"/>
        <c:crossAx val="50460544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41</xdr:row>
      <xdr:rowOff>0</xdr:rowOff>
    </xdr:from>
    <xdr:to>
      <xdr:col>13</xdr:col>
      <xdr:colOff>581026</xdr:colOff>
      <xdr:row>53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600075</xdr:colOff>
      <xdr:row>28</xdr:row>
      <xdr:rowOff>0</xdr:rowOff>
    </xdr:from>
    <xdr:to>
      <xdr:col>13</xdr:col>
      <xdr:colOff>571500</xdr:colOff>
      <xdr:row>40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19050</xdr:colOff>
      <xdr:row>2</xdr:row>
      <xdr:rowOff>0</xdr:rowOff>
    </xdr:from>
    <xdr:to>
      <xdr:col>13</xdr:col>
      <xdr:colOff>571500</xdr:colOff>
      <xdr:row>14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19591</xdr:colOff>
      <xdr:row>15</xdr:row>
      <xdr:rowOff>14085</xdr:rowOff>
    </xdr:from>
    <xdr:to>
      <xdr:col>13</xdr:col>
      <xdr:colOff>581025</xdr:colOff>
      <xdr:row>27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581025</xdr:colOff>
      <xdr:row>39</xdr:row>
      <xdr:rowOff>9525</xdr:rowOff>
    </xdr:from>
    <xdr:to>
      <xdr:col>8</xdr:col>
      <xdr:colOff>285750</xdr:colOff>
      <xdr:row>40</xdr:row>
      <xdr:rowOff>9525</xdr:rowOff>
    </xdr:to>
    <xdr:sp macro="" textlink="">
      <xdr:nvSpPr>
        <xdr:cNvPr id="6" name="Rectangle 5"/>
        <xdr:cNvSpPr/>
      </xdr:nvSpPr>
      <xdr:spPr>
        <a:xfrm>
          <a:off x="3857625" y="7505700"/>
          <a:ext cx="923925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>
              <a:solidFill>
                <a:sysClr val="windowText" lastClr="000000"/>
              </a:solidFill>
            </a:rPr>
            <a:t>Years</a:t>
          </a:r>
        </a:p>
      </xdr:txBody>
    </xdr:sp>
    <xdr:clientData/>
  </xdr:twoCellAnchor>
  <xdr:twoCellAnchor>
    <xdr:from>
      <xdr:col>6</xdr:col>
      <xdr:colOff>47625</xdr:colOff>
      <xdr:row>25</xdr:row>
      <xdr:rowOff>161925</xdr:rowOff>
    </xdr:from>
    <xdr:to>
      <xdr:col>7</xdr:col>
      <xdr:colOff>361950</xdr:colOff>
      <xdr:row>26</xdr:row>
      <xdr:rowOff>161925</xdr:rowOff>
    </xdr:to>
    <xdr:sp macro="" textlink="">
      <xdr:nvSpPr>
        <xdr:cNvPr id="7" name="Rectangle 6"/>
        <xdr:cNvSpPr/>
      </xdr:nvSpPr>
      <xdr:spPr>
        <a:xfrm>
          <a:off x="3324225" y="4972050"/>
          <a:ext cx="923925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>
              <a:solidFill>
                <a:sysClr val="windowText" lastClr="000000"/>
              </a:solidFill>
            </a:rPr>
            <a:t>Years</a:t>
          </a:r>
        </a:p>
      </xdr:txBody>
    </xdr:sp>
    <xdr:clientData/>
  </xdr:twoCellAnchor>
  <xdr:twoCellAnchor>
    <xdr:from>
      <xdr:col>7</xdr:col>
      <xdr:colOff>133350</xdr:colOff>
      <xdr:row>13</xdr:row>
      <xdr:rowOff>47625</xdr:rowOff>
    </xdr:from>
    <xdr:to>
      <xdr:col>8</xdr:col>
      <xdr:colOff>447675</xdr:colOff>
      <xdr:row>14</xdr:row>
      <xdr:rowOff>47625</xdr:rowOff>
    </xdr:to>
    <xdr:sp macro="" textlink="">
      <xdr:nvSpPr>
        <xdr:cNvPr id="8" name="Rectangle 7"/>
        <xdr:cNvSpPr/>
      </xdr:nvSpPr>
      <xdr:spPr>
        <a:xfrm>
          <a:off x="4019550" y="2552700"/>
          <a:ext cx="923925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>
              <a:solidFill>
                <a:sysClr val="windowText" lastClr="000000"/>
              </a:solidFill>
            </a:rPr>
            <a:t>Years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0.31669</cdr:x>
      <cdr:y>0.91736</cdr:y>
    </cdr:from>
    <cdr:to>
      <cdr:x>0.45506</cdr:x>
      <cdr:y>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114550" y="2114550"/>
          <a:ext cx="923925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>
              <a:solidFill>
                <a:sysClr val="windowText" lastClr="000000"/>
              </a:solidFill>
            </a:rPr>
            <a:t>Years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L39"/>
  <sheetViews>
    <sheetView showGridLines="0" zoomScale="90" zoomScaleNormal="90" workbookViewId="0"/>
  </sheetViews>
  <sheetFormatPr defaultColWidth="9.140625" defaultRowHeight="15" x14ac:dyDescent="0.25"/>
  <cols>
    <col min="1" max="1" width="6.7109375" style="3" customWidth="1"/>
    <col min="2" max="2" width="25.140625" style="40" bestFit="1" customWidth="1"/>
    <col min="3" max="3" width="13.42578125" style="3" customWidth="1"/>
    <col min="4" max="4" width="49.42578125" style="3" customWidth="1"/>
    <col min="5" max="5" width="110.42578125" style="3" bestFit="1" customWidth="1"/>
    <col min="6" max="6" width="82.85546875" style="3" customWidth="1"/>
    <col min="7" max="7" width="9.140625" style="3"/>
    <col min="8" max="8" width="12.85546875" style="3" customWidth="1"/>
    <col min="9" max="21" width="9.140625" style="3"/>
    <col min="22" max="22" width="10.7109375" style="3" customWidth="1"/>
    <col min="23" max="48" width="0" style="3" hidden="1" customWidth="1"/>
    <col min="49" max="54" width="10" style="3" customWidth="1"/>
    <col min="55" max="59" width="10" style="3" hidden="1" customWidth="1"/>
    <col min="60" max="60" width="11.85546875" style="3" customWidth="1"/>
    <col min="61" max="82" width="0" style="3" hidden="1" customWidth="1"/>
    <col min="83" max="88" width="11.28515625" style="3" customWidth="1"/>
    <col min="89" max="89" width="11.5703125" style="3" customWidth="1"/>
    <col min="90" max="90" width="3.140625" style="3" hidden="1" customWidth="1"/>
    <col min="91" max="16384" width="9.140625" style="3"/>
  </cols>
  <sheetData>
    <row r="2" spans="2:6" ht="58.5" customHeight="1" x14ac:dyDescent="0.25">
      <c r="B2" s="1" t="s">
        <v>0</v>
      </c>
      <c r="C2" s="239" t="s">
        <v>1</v>
      </c>
      <c r="D2" s="240"/>
      <c r="E2" s="241"/>
      <c r="F2" s="2"/>
    </row>
    <row r="3" spans="2:6" s="8" customFormat="1" x14ac:dyDescent="0.25">
      <c r="B3" s="4"/>
      <c r="C3" s="5"/>
      <c r="D3" s="6"/>
      <c r="E3" s="6"/>
      <c r="F3" s="7"/>
    </row>
    <row r="4" spans="2:6" ht="69.75" customHeight="1" x14ac:dyDescent="0.25">
      <c r="B4" s="9" t="s">
        <v>2</v>
      </c>
      <c r="C4" s="239" t="s">
        <v>3</v>
      </c>
      <c r="D4" s="240"/>
      <c r="E4" s="241"/>
      <c r="F4" s="2"/>
    </row>
    <row r="6" spans="2:6" ht="18.75" customHeight="1" x14ac:dyDescent="0.25">
      <c r="B6" s="242" t="s">
        <v>4</v>
      </c>
      <c r="C6" s="10" t="s">
        <v>5</v>
      </c>
      <c r="D6" s="11" t="s">
        <v>6</v>
      </c>
      <c r="E6" s="11" t="s">
        <v>7</v>
      </c>
      <c r="F6" s="12"/>
    </row>
    <row r="7" spans="2:6" x14ac:dyDescent="0.25">
      <c r="B7" s="243"/>
      <c r="C7" s="13">
        <v>1</v>
      </c>
      <c r="D7" s="14" t="s">
        <v>8</v>
      </c>
      <c r="E7" s="15" t="s">
        <v>9</v>
      </c>
    </row>
    <row r="8" spans="2:6" ht="30" x14ac:dyDescent="0.25">
      <c r="B8" s="243"/>
      <c r="C8" s="13">
        <v>2</v>
      </c>
      <c r="D8" s="14" t="s">
        <v>10</v>
      </c>
      <c r="E8" s="15" t="s">
        <v>11</v>
      </c>
    </row>
    <row r="9" spans="2:6" x14ac:dyDescent="0.25">
      <c r="B9" s="243"/>
      <c r="C9" s="13">
        <v>3</v>
      </c>
      <c r="D9" s="14" t="s">
        <v>12</v>
      </c>
      <c r="E9" s="15" t="s">
        <v>13</v>
      </c>
    </row>
    <row r="10" spans="2:6" x14ac:dyDescent="0.25">
      <c r="B10" s="243"/>
      <c r="C10" s="13">
        <v>4</v>
      </c>
      <c r="D10" s="14" t="s">
        <v>14</v>
      </c>
      <c r="E10" s="15" t="s">
        <v>15</v>
      </c>
    </row>
    <row r="11" spans="2:6" ht="30" x14ac:dyDescent="0.25">
      <c r="B11" s="243"/>
      <c r="C11" s="16">
        <v>5</v>
      </c>
      <c r="D11" s="14" t="s">
        <v>16</v>
      </c>
      <c r="E11" s="17" t="s">
        <v>17</v>
      </c>
    </row>
    <row r="12" spans="2:6" x14ac:dyDescent="0.25">
      <c r="B12" s="4"/>
      <c r="C12" s="18"/>
      <c r="D12" s="19"/>
      <c r="E12" s="2"/>
      <c r="F12" s="20"/>
    </row>
    <row r="13" spans="2:6" ht="30" customHeight="1" x14ac:dyDescent="0.25">
      <c r="B13" s="244" t="s">
        <v>18</v>
      </c>
      <c r="C13" s="21" t="s">
        <v>19</v>
      </c>
      <c r="D13" s="245" t="s">
        <v>20</v>
      </c>
      <c r="E13" s="245"/>
      <c r="F13" s="20"/>
    </row>
    <row r="14" spans="2:6" ht="50.25" customHeight="1" x14ac:dyDescent="0.25">
      <c r="B14" s="244"/>
      <c r="C14" s="21" t="s">
        <v>21</v>
      </c>
      <c r="D14" s="245" t="s">
        <v>22</v>
      </c>
      <c r="E14" s="245"/>
      <c r="F14" s="20"/>
    </row>
    <row r="15" spans="2:6" ht="39.75" customHeight="1" x14ac:dyDescent="0.25">
      <c r="B15" s="244"/>
      <c r="C15" s="21" t="s">
        <v>23</v>
      </c>
      <c r="D15" s="245" t="s">
        <v>24</v>
      </c>
      <c r="E15" s="245"/>
      <c r="F15" s="20"/>
    </row>
    <row r="16" spans="2:6" ht="30" customHeight="1" x14ac:dyDescent="0.25">
      <c r="B16" s="244"/>
      <c r="C16" s="21" t="s">
        <v>25</v>
      </c>
      <c r="D16" s="245" t="s">
        <v>26</v>
      </c>
      <c r="E16" s="245"/>
      <c r="F16" s="20"/>
    </row>
    <row r="17" spans="2:6" ht="47.25" customHeight="1" x14ac:dyDescent="0.25">
      <c r="B17" s="244"/>
      <c r="C17" s="21" t="s">
        <v>27</v>
      </c>
      <c r="D17" s="245" t="s">
        <v>28</v>
      </c>
      <c r="E17" s="245"/>
    </row>
    <row r="18" spans="2:6" x14ac:dyDescent="0.25">
      <c r="B18" s="22"/>
      <c r="C18" s="20"/>
      <c r="D18" s="20"/>
      <c r="E18" s="20"/>
      <c r="F18" s="23"/>
    </row>
    <row r="19" spans="2:6" ht="15.75" customHeight="1" x14ac:dyDescent="0.25">
      <c r="B19" s="225" t="s">
        <v>29</v>
      </c>
      <c r="C19" s="24" t="s">
        <v>30</v>
      </c>
      <c r="D19" s="25"/>
      <c r="E19" s="26"/>
      <c r="F19" s="27"/>
    </row>
    <row r="20" spans="2:6" x14ac:dyDescent="0.25">
      <c r="B20" s="226"/>
      <c r="C20" s="28" t="s">
        <v>31</v>
      </c>
      <c r="D20" s="29"/>
      <c r="E20" s="30"/>
      <c r="F20" s="8"/>
    </row>
    <row r="21" spans="2:6" x14ac:dyDescent="0.25">
      <c r="B21" s="226"/>
      <c r="C21" s="28" t="s">
        <v>32</v>
      </c>
      <c r="D21" s="29"/>
      <c r="E21" s="30"/>
    </row>
    <row r="22" spans="2:6" x14ac:dyDescent="0.25">
      <c r="B22" s="226"/>
      <c r="C22" s="31" t="s">
        <v>33</v>
      </c>
      <c r="D22" s="29"/>
      <c r="E22" s="30"/>
    </row>
    <row r="23" spans="2:6" x14ac:dyDescent="0.25">
      <c r="B23" s="226"/>
      <c r="C23" s="32" t="s">
        <v>34</v>
      </c>
      <c r="D23" s="29"/>
      <c r="E23" s="30"/>
    </row>
    <row r="24" spans="2:6" x14ac:dyDescent="0.25">
      <c r="B24" s="226"/>
      <c r="C24" s="32" t="s">
        <v>35</v>
      </c>
      <c r="D24" s="29"/>
      <c r="E24" s="30"/>
    </row>
    <row r="25" spans="2:6" x14ac:dyDescent="0.25">
      <c r="B25" s="226"/>
      <c r="C25" s="32" t="s">
        <v>36</v>
      </c>
      <c r="D25" s="29"/>
      <c r="E25" s="30"/>
    </row>
    <row r="26" spans="2:6" x14ac:dyDescent="0.25">
      <c r="B26" s="226"/>
      <c r="C26" s="32" t="s">
        <v>37</v>
      </c>
      <c r="D26" s="29"/>
      <c r="E26" s="30"/>
    </row>
    <row r="27" spans="2:6" x14ac:dyDescent="0.25">
      <c r="B27" s="226"/>
      <c r="C27" s="31" t="s">
        <v>38</v>
      </c>
      <c r="D27" s="29"/>
      <c r="E27" s="30"/>
    </row>
    <row r="28" spans="2:6" x14ac:dyDescent="0.25">
      <c r="B28" s="226"/>
      <c r="C28" s="32" t="s">
        <v>39</v>
      </c>
      <c r="D28" s="29"/>
      <c r="E28" s="30"/>
    </row>
    <row r="29" spans="2:6" x14ac:dyDescent="0.25">
      <c r="B29" s="226"/>
      <c r="C29" s="32" t="s">
        <v>40</v>
      </c>
      <c r="D29" s="29"/>
      <c r="E29" s="30"/>
    </row>
    <row r="30" spans="2:6" x14ac:dyDescent="0.25">
      <c r="B30" s="226"/>
      <c r="C30" s="32" t="s">
        <v>41</v>
      </c>
      <c r="D30" s="29"/>
      <c r="E30" s="30"/>
    </row>
    <row r="31" spans="2:6" x14ac:dyDescent="0.25">
      <c r="B31" s="226"/>
      <c r="C31" s="33" t="s">
        <v>42</v>
      </c>
      <c r="D31" s="29"/>
      <c r="E31" s="30"/>
    </row>
    <row r="32" spans="2:6" x14ac:dyDescent="0.25">
      <c r="B32" s="226"/>
      <c r="C32" s="33" t="s">
        <v>43</v>
      </c>
      <c r="D32" s="29"/>
      <c r="E32" s="30"/>
    </row>
    <row r="33" spans="2:6" x14ac:dyDescent="0.25">
      <c r="B33" s="226"/>
      <c r="C33" s="34" t="s">
        <v>44</v>
      </c>
      <c r="D33" s="35"/>
      <c r="E33" s="36"/>
    </row>
    <row r="35" spans="2:6" ht="15" customHeight="1" x14ac:dyDescent="0.25">
      <c r="B35" s="226" t="s">
        <v>45</v>
      </c>
      <c r="C35" s="227" t="s">
        <v>46</v>
      </c>
      <c r="D35" s="228"/>
      <c r="E35" s="229"/>
      <c r="F35" s="37"/>
    </row>
    <row r="36" spans="2:6" ht="6" customHeight="1" x14ac:dyDescent="0.25">
      <c r="B36" s="226"/>
      <c r="C36" s="230"/>
      <c r="D36" s="231"/>
      <c r="E36" s="232"/>
      <c r="F36" s="37"/>
    </row>
    <row r="37" spans="2:6" ht="10.5" customHeight="1" x14ac:dyDescent="0.25">
      <c r="B37" s="226"/>
      <c r="C37" s="38"/>
      <c r="D37" s="20"/>
      <c r="E37" s="39"/>
      <c r="F37" s="39"/>
    </row>
    <row r="38" spans="2:6" ht="15" customHeight="1" x14ac:dyDescent="0.25">
      <c r="B38" s="226"/>
      <c r="C38" s="233" t="s">
        <v>47</v>
      </c>
      <c r="D38" s="234"/>
      <c r="E38" s="235"/>
      <c r="F38" s="37"/>
    </row>
    <row r="39" spans="2:6" ht="3.75" customHeight="1" x14ac:dyDescent="0.25">
      <c r="B39" s="226"/>
      <c r="C39" s="236"/>
      <c r="D39" s="237"/>
      <c r="E39" s="238"/>
      <c r="F39" s="37"/>
    </row>
  </sheetData>
  <mergeCells count="13">
    <mergeCell ref="B19:B33"/>
    <mergeCell ref="B35:B39"/>
    <mergeCell ref="C35:E36"/>
    <mergeCell ref="C38:E39"/>
    <mergeCell ref="C2:E2"/>
    <mergeCell ref="C4:E4"/>
    <mergeCell ref="B6:B11"/>
    <mergeCell ref="B13:B17"/>
    <mergeCell ref="D13:E13"/>
    <mergeCell ref="D14:E14"/>
    <mergeCell ref="D15:E15"/>
    <mergeCell ref="D16:E16"/>
    <mergeCell ref="D17:E17"/>
  </mergeCells>
  <hyperlinks>
    <hyperlink ref="D7" location="'Model assumptions'!A1" display="Model assumptions"/>
    <hyperlink ref="D8" location="'Business model'!A1" display="Business model "/>
    <hyperlink ref="D9" location="'School economics '!A1" display="School economics "/>
    <hyperlink ref="D10" location="'Student economics'!A1" display="Student economics "/>
    <hyperlink ref="D11" location="'Output Charts'!A1" display="Output Charts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B1:P58"/>
  <sheetViews>
    <sheetView showGridLines="0" tabSelected="1" zoomScaleNormal="100" workbookViewId="0">
      <pane xSplit="2" ySplit="3" topLeftCell="C4" activePane="bottomRight" state="frozen"/>
      <selection activeCell="E43" activeCellId="1" sqref="E18 E43"/>
      <selection pane="topRight" activeCell="E43" activeCellId="1" sqref="E18 E43"/>
      <selection pane="bottomLeft" activeCell="E43" activeCellId="1" sqref="E18 E43"/>
      <selection pane="bottomRight" activeCell="D6" sqref="D6"/>
    </sheetView>
  </sheetViews>
  <sheetFormatPr defaultColWidth="9.140625" defaultRowHeight="15.75" x14ac:dyDescent="0.25"/>
  <cols>
    <col min="1" max="1" width="3" style="41" customWidth="1"/>
    <col min="2" max="2" width="24.5703125" style="41" bestFit="1" customWidth="1"/>
    <col min="3" max="3" width="77.7109375" style="41" bestFit="1" customWidth="1"/>
    <col min="4" max="4" width="14" style="41" bestFit="1" customWidth="1"/>
    <col min="5" max="9" width="11.5703125" style="41" bestFit="1" customWidth="1"/>
    <col min="10" max="10" width="36.140625" style="43" customWidth="1"/>
    <col min="11" max="11" width="229.28515625" style="41" bestFit="1" customWidth="1"/>
    <col min="12" max="12" width="49.85546875" style="41" bestFit="1" customWidth="1"/>
    <col min="13" max="13" width="16" style="41" bestFit="1" customWidth="1"/>
    <col min="14" max="16384" width="9.140625" style="41"/>
  </cols>
  <sheetData>
    <row r="1" spans="2:11" x14ac:dyDescent="0.25">
      <c r="D1" s="42"/>
    </row>
    <row r="2" spans="2:11" x14ac:dyDescent="0.25">
      <c r="B2" s="44"/>
      <c r="C2" s="44"/>
      <c r="D2" s="45" t="s">
        <v>48</v>
      </c>
      <c r="E2" s="248" t="s">
        <v>49</v>
      </c>
      <c r="F2" s="248"/>
      <c r="G2" s="248"/>
      <c r="H2" s="248"/>
      <c r="I2" s="248"/>
      <c r="J2" s="44"/>
      <c r="K2" s="44"/>
    </row>
    <row r="3" spans="2:11" ht="31.5" x14ac:dyDescent="0.25">
      <c r="B3" s="45" t="s">
        <v>50</v>
      </c>
      <c r="C3" s="45"/>
      <c r="D3" s="44"/>
      <c r="E3" s="46" t="s">
        <v>51</v>
      </c>
      <c r="F3" s="46" t="s">
        <v>52</v>
      </c>
      <c r="G3" s="45" t="s">
        <v>53</v>
      </c>
      <c r="H3" s="46" t="s">
        <v>54</v>
      </c>
      <c r="I3" s="46" t="s">
        <v>55</v>
      </c>
      <c r="J3" s="47" t="s">
        <v>56</v>
      </c>
      <c r="K3" s="46" t="s">
        <v>7</v>
      </c>
    </row>
    <row r="4" spans="2:11" x14ac:dyDescent="0.25">
      <c r="B4" s="249" t="s">
        <v>57</v>
      </c>
      <c r="C4" s="48" t="s">
        <v>58</v>
      </c>
      <c r="D4" s="49">
        <v>30</v>
      </c>
      <c r="E4" s="49">
        <v>30</v>
      </c>
      <c r="F4" s="49">
        <v>30</v>
      </c>
      <c r="G4" s="49">
        <v>30</v>
      </c>
      <c r="H4" s="49">
        <v>30</v>
      </c>
      <c r="I4" s="49">
        <v>30</v>
      </c>
      <c r="J4" s="50" t="s">
        <v>59</v>
      </c>
      <c r="K4" s="51" t="s">
        <v>60</v>
      </c>
    </row>
    <row r="5" spans="2:11" x14ac:dyDescent="0.25">
      <c r="B5" s="249"/>
      <c r="C5" s="48" t="s">
        <v>61</v>
      </c>
      <c r="D5" s="49">
        <v>3</v>
      </c>
      <c r="E5" s="49">
        <v>3</v>
      </c>
      <c r="F5" s="49">
        <v>4</v>
      </c>
      <c r="G5" s="49">
        <v>4</v>
      </c>
      <c r="H5" s="49">
        <v>5</v>
      </c>
      <c r="I5" s="49">
        <v>6</v>
      </c>
      <c r="J5" s="50" t="s">
        <v>62</v>
      </c>
      <c r="K5" s="51" t="s">
        <v>63</v>
      </c>
    </row>
    <row r="6" spans="2:11" x14ac:dyDescent="0.25">
      <c r="B6" s="249"/>
      <c r="C6" s="48" t="s">
        <v>64</v>
      </c>
      <c r="D6" s="49">
        <v>1525</v>
      </c>
      <c r="E6" s="52">
        <f>D6*(1+D9)</f>
        <v>1601.25</v>
      </c>
      <c r="F6" s="52">
        <f>E6*(1+E9)</f>
        <v>1665.3</v>
      </c>
      <c r="G6" s="52">
        <f>F6*(1+F9)</f>
        <v>1731.912</v>
      </c>
      <c r="H6" s="52">
        <f>G6*(1+G9)</f>
        <v>1818.5076000000001</v>
      </c>
      <c r="I6" s="52">
        <f>H6*(1+H9)</f>
        <v>1909.4329800000003</v>
      </c>
      <c r="J6" s="50" t="s">
        <v>65</v>
      </c>
      <c r="K6" s="53" t="s">
        <v>66</v>
      </c>
    </row>
    <row r="7" spans="2:11" x14ac:dyDescent="0.25">
      <c r="B7" s="249"/>
      <c r="C7" s="48" t="s">
        <v>67</v>
      </c>
      <c r="D7" s="49">
        <f>D16</f>
        <v>4000</v>
      </c>
      <c r="E7" s="52">
        <f>D7*(1+D9)</f>
        <v>4200</v>
      </c>
      <c r="F7" s="52">
        <f>E7*(1+E9)</f>
        <v>4368</v>
      </c>
      <c r="G7" s="52">
        <f>F7*(1+F9)</f>
        <v>4542.72</v>
      </c>
      <c r="H7" s="52">
        <f>G7*(1+G9)</f>
        <v>4769.8560000000007</v>
      </c>
      <c r="I7" s="52">
        <f>H7*(1+H9)</f>
        <v>5008.3488000000007</v>
      </c>
      <c r="J7" s="50" t="s">
        <v>68</v>
      </c>
      <c r="K7" s="51" t="s">
        <v>69</v>
      </c>
    </row>
    <row r="8" spans="2:11" x14ac:dyDescent="0.25">
      <c r="B8" s="249"/>
      <c r="C8" s="48" t="s">
        <v>70</v>
      </c>
      <c r="D8" s="49">
        <v>0</v>
      </c>
      <c r="E8" s="52">
        <f>D8*(1+D9)</f>
        <v>0</v>
      </c>
      <c r="F8" s="52">
        <f>E8*(1+E9)</f>
        <v>0</v>
      </c>
      <c r="G8" s="52">
        <f>F8*(1+F9)</f>
        <v>0</v>
      </c>
      <c r="H8" s="52">
        <f t="shared" ref="H8:I8" si="0">G8*(1+G9)</f>
        <v>0</v>
      </c>
      <c r="I8" s="52">
        <f t="shared" si="0"/>
        <v>0</v>
      </c>
      <c r="J8" s="50" t="s">
        <v>71</v>
      </c>
      <c r="K8" s="51" t="s">
        <v>72</v>
      </c>
    </row>
    <row r="9" spans="2:11" x14ac:dyDescent="0.25">
      <c r="B9" s="249"/>
      <c r="C9" s="48" t="s">
        <v>73</v>
      </c>
      <c r="D9" s="54">
        <v>0.05</v>
      </c>
      <c r="E9" s="54">
        <v>0.04</v>
      </c>
      <c r="F9" s="54">
        <v>0.04</v>
      </c>
      <c r="G9" s="54">
        <v>0.05</v>
      </c>
      <c r="H9" s="54">
        <v>0.05</v>
      </c>
      <c r="I9" s="54">
        <v>0.06</v>
      </c>
      <c r="J9" s="50" t="s">
        <v>74</v>
      </c>
      <c r="K9" s="51" t="s">
        <v>75</v>
      </c>
    </row>
    <row r="10" spans="2:11" x14ac:dyDescent="0.25">
      <c r="B10" s="249"/>
      <c r="C10" s="48" t="s">
        <v>76</v>
      </c>
      <c r="D10" s="55">
        <v>0.75</v>
      </c>
      <c r="E10" s="55">
        <v>0.75</v>
      </c>
      <c r="F10" s="55">
        <v>0.77</v>
      </c>
      <c r="G10" s="55">
        <v>0.79</v>
      </c>
      <c r="H10" s="55">
        <v>0.8</v>
      </c>
      <c r="I10" s="55">
        <v>0.8</v>
      </c>
      <c r="J10" s="50" t="s">
        <v>77</v>
      </c>
      <c r="K10" s="53" t="s">
        <v>78</v>
      </c>
    </row>
    <row r="11" spans="2:11" x14ac:dyDescent="0.25">
      <c r="B11" s="249"/>
      <c r="C11" s="48" t="s">
        <v>79</v>
      </c>
      <c r="D11" s="56">
        <v>0</v>
      </c>
      <c r="E11" s="57" t="s">
        <v>80</v>
      </c>
      <c r="F11" s="57" t="s">
        <v>80</v>
      </c>
      <c r="G11" s="57" t="s">
        <v>80</v>
      </c>
      <c r="H11" s="57" t="s">
        <v>80</v>
      </c>
      <c r="I11" s="57" t="s">
        <v>80</v>
      </c>
      <c r="J11" s="50" t="s">
        <v>81</v>
      </c>
      <c r="K11" s="53" t="s">
        <v>82</v>
      </c>
    </row>
    <row r="12" spans="2:11" x14ac:dyDescent="0.25">
      <c r="B12" s="249"/>
      <c r="C12" s="48" t="s">
        <v>83</v>
      </c>
      <c r="D12" s="56">
        <v>10</v>
      </c>
      <c r="E12" s="58" t="s">
        <v>80</v>
      </c>
      <c r="F12" s="58" t="s">
        <v>80</v>
      </c>
      <c r="G12" s="58" t="s">
        <v>80</v>
      </c>
      <c r="H12" s="58" t="s">
        <v>80</v>
      </c>
      <c r="I12" s="58" t="s">
        <v>80</v>
      </c>
      <c r="J12" s="50" t="s">
        <v>81</v>
      </c>
      <c r="K12" s="53" t="s">
        <v>84</v>
      </c>
    </row>
    <row r="13" spans="2:11" x14ac:dyDescent="0.25">
      <c r="B13" s="249"/>
      <c r="C13" s="48" t="s">
        <v>85</v>
      </c>
      <c r="D13" s="55">
        <v>0.03</v>
      </c>
      <c r="E13" s="55">
        <v>0.05</v>
      </c>
      <c r="F13" s="55">
        <v>0.04</v>
      </c>
      <c r="G13" s="55">
        <v>0.03</v>
      </c>
      <c r="H13" s="55">
        <v>0.03</v>
      </c>
      <c r="I13" s="55">
        <v>0.03</v>
      </c>
      <c r="J13" s="50" t="s">
        <v>86</v>
      </c>
      <c r="K13" s="53" t="s">
        <v>87</v>
      </c>
    </row>
    <row r="14" spans="2:11" s="63" customFormat="1" x14ac:dyDescent="0.25">
      <c r="B14" s="59"/>
      <c r="C14" s="60"/>
      <c r="D14" s="61"/>
      <c r="E14" s="61"/>
      <c r="F14" s="61"/>
      <c r="G14" s="61"/>
      <c r="H14" s="61"/>
      <c r="I14" s="61"/>
      <c r="J14" s="62"/>
      <c r="K14" s="60"/>
    </row>
    <row r="15" spans="2:11" x14ac:dyDescent="0.25">
      <c r="B15" s="249" t="s">
        <v>88</v>
      </c>
      <c r="C15" s="48" t="s">
        <v>89</v>
      </c>
      <c r="D15" s="64">
        <v>575</v>
      </c>
      <c r="E15" s="52">
        <f>D15*(1+D18)</f>
        <v>589.375</v>
      </c>
      <c r="F15" s="52">
        <f>E15*(1+E18)</f>
        <v>604.109375</v>
      </c>
      <c r="G15" s="52">
        <f>F15*(1+F18)</f>
        <v>619.21210937499995</v>
      </c>
      <c r="H15" s="52">
        <f>G15*(1+G18)</f>
        <v>634.69241210937491</v>
      </c>
      <c r="I15" s="52">
        <f>H15*(1+H18)</f>
        <v>650.55972241210918</v>
      </c>
      <c r="J15" s="50" t="s">
        <v>90</v>
      </c>
      <c r="K15" s="51" t="s">
        <v>91</v>
      </c>
    </row>
    <row r="16" spans="2:11" x14ac:dyDescent="0.25">
      <c r="B16" s="249"/>
      <c r="C16" s="65" t="s">
        <v>92</v>
      </c>
      <c r="D16" s="64">
        <v>4000</v>
      </c>
      <c r="E16" s="52">
        <f>D16*(1+D18)</f>
        <v>4100</v>
      </c>
      <c r="F16" s="52">
        <f>E16*(1+E18)</f>
        <v>4202.5</v>
      </c>
      <c r="G16" s="52">
        <f>F16*(1+F18)</f>
        <v>4307.5625</v>
      </c>
      <c r="H16" s="52">
        <f>G16*(1+G18)</f>
        <v>4415.2515624999996</v>
      </c>
      <c r="I16" s="52">
        <f>H16*(1+H18)</f>
        <v>4525.6328515624991</v>
      </c>
      <c r="J16" s="50" t="s">
        <v>93</v>
      </c>
      <c r="K16" s="51" t="s">
        <v>94</v>
      </c>
    </row>
    <row r="17" spans="2:16" x14ac:dyDescent="0.25">
      <c r="B17" s="249"/>
      <c r="C17" s="48" t="s">
        <v>95</v>
      </c>
      <c r="D17" s="64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0" t="s">
        <v>96</v>
      </c>
      <c r="K17" s="51" t="s">
        <v>97</v>
      </c>
    </row>
    <row r="18" spans="2:16" x14ac:dyDescent="0.25">
      <c r="B18" s="249"/>
      <c r="C18" s="48" t="s">
        <v>98</v>
      </c>
      <c r="D18" s="66">
        <v>2.5000000000000001E-2</v>
      </c>
      <c r="E18" s="66">
        <v>2.5000000000000001E-2</v>
      </c>
      <c r="F18" s="66">
        <v>2.5000000000000001E-2</v>
      </c>
      <c r="G18" s="66">
        <v>2.5000000000000001E-2</v>
      </c>
      <c r="H18" s="66">
        <v>2.5000000000000001E-2</v>
      </c>
      <c r="I18" s="66">
        <v>2.5000000000000001E-2</v>
      </c>
      <c r="J18" s="50" t="s">
        <v>99</v>
      </c>
      <c r="K18" s="51" t="s">
        <v>100</v>
      </c>
    </row>
    <row r="19" spans="2:16" s="63" customFormat="1" x14ac:dyDescent="0.25">
      <c r="B19" s="67"/>
      <c r="C19" s="60"/>
      <c r="D19" s="68"/>
      <c r="E19" s="61"/>
      <c r="F19" s="61"/>
      <c r="G19" s="61"/>
      <c r="H19" s="61"/>
      <c r="I19" s="61"/>
      <c r="J19" s="62"/>
      <c r="K19" s="60"/>
    </row>
    <row r="20" spans="2:16" x14ac:dyDescent="0.25">
      <c r="B20" s="250" t="s">
        <v>101</v>
      </c>
      <c r="C20" s="48" t="s">
        <v>102</v>
      </c>
      <c r="D20" s="69">
        <v>8</v>
      </c>
      <c r="E20" s="69">
        <v>8</v>
      </c>
      <c r="F20" s="69">
        <v>9</v>
      </c>
      <c r="G20" s="69">
        <v>9</v>
      </c>
      <c r="H20" s="69">
        <v>10</v>
      </c>
      <c r="I20" s="69">
        <v>10</v>
      </c>
      <c r="J20" s="50" t="s">
        <v>103</v>
      </c>
      <c r="K20" s="51" t="s">
        <v>104</v>
      </c>
      <c r="L20" s="70"/>
      <c r="M20" s="70"/>
      <c r="N20" s="70"/>
      <c r="O20" s="70"/>
      <c r="P20" s="70"/>
    </row>
    <row r="21" spans="2:16" x14ac:dyDescent="0.25">
      <c r="B21" s="250"/>
      <c r="C21" s="48" t="s">
        <v>105</v>
      </c>
      <c r="D21" s="71">
        <v>3</v>
      </c>
      <c r="E21" s="64">
        <v>5</v>
      </c>
      <c r="F21" s="64">
        <v>8</v>
      </c>
      <c r="G21" s="64">
        <v>10</v>
      </c>
      <c r="H21" s="64">
        <v>12</v>
      </c>
      <c r="I21" s="64">
        <v>14</v>
      </c>
      <c r="J21" s="50" t="s">
        <v>106</v>
      </c>
      <c r="K21" s="51" t="s">
        <v>107</v>
      </c>
      <c r="L21" s="70"/>
      <c r="M21" s="72"/>
      <c r="N21" s="73"/>
      <c r="O21" s="74"/>
      <c r="P21" s="70"/>
    </row>
    <row r="22" spans="2:16" x14ac:dyDescent="0.25">
      <c r="B22" s="250"/>
      <c r="C22" s="48" t="s">
        <v>108</v>
      </c>
      <c r="D22" s="64">
        <v>8</v>
      </c>
      <c r="E22" s="64">
        <v>8</v>
      </c>
      <c r="F22" s="64">
        <v>8</v>
      </c>
      <c r="G22" s="64">
        <v>8</v>
      </c>
      <c r="H22" s="64">
        <v>8</v>
      </c>
      <c r="I22" s="64">
        <v>8</v>
      </c>
      <c r="J22" s="50" t="s">
        <v>109</v>
      </c>
      <c r="K22" s="51" t="s">
        <v>110</v>
      </c>
      <c r="L22" s="70"/>
      <c r="M22" s="75"/>
      <c r="N22" s="76"/>
      <c r="O22" s="77"/>
      <c r="P22" s="70"/>
    </row>
    <row r="23" spans="2:16" x14ac:dyDescent="0.25">
      <c r="B23" s="250"/>
      <c r="C23" s="48" t="s">
        <v>111</v>
      </c>
      <c r="D23" s="69">
        <v>50</v>
      </c>
      <c r="E23" s="69">
        <v>50</v>
      </c>
      <c r="F23" s="69">
        <v>50</v>
      </c>
      <c r="G23" s="69">
        <v>50</v>
      </c>
      <c r="H23" s="69">
        <v>50</v>
      </c>
      <c r="I23" s="69">
        <v>50</v>
      </c>
      <c r="J23" s="50" t="s">
        <v>112</v>
      </c>
      <c r="K23" s="51" t="s">
        <v>113</v>
      </c>
      <c r="L23" s="78"/>
      <c r="M23" s="79"/>
      <c r="N23" s="80"/>
      <c r="O23" s="81"/>
      <c r="P23" s="70"/>
    </row>
    <row r="24" spans="2:16" x14ac:dyDescent="0.25">
      <c r="B24" s="250"/>
      <c r="C24" s="48" t="s">
        <v>114</v>
      </c>
      <c r="D24" s="64">
        <v>400000</v>
      </c>
      <c r="E24" s="52">
        <f>D24*(1+D48)</f>
        <v>424000</v>
      </c>
      <c r="F24" s="52">
        <f>E24*(1+E48)</f>
        <v>449440</v>
      </c>
      <c r="G24" s="52">
        <f t="shared" ref="G24:I24" si="1">F24*(1+F48)</f>
        <v>476406.4</v>
      </c>
      <c r="H24" s="52">
        <f t="shared" si="1"/>
        <v>504990.78400000004</v>
      </c>
      <c r="I24" s="52">
        <f t="shared" si="1"/>
        <v>535290.2310400001</v>
      </c>
      <c r="J24" s="50" t="s">
        <v>115</v>
      </c>
      <c r="K24" s="51" t="s">
        <v>116</v>
      </c>
      <c r="L24" s="82"/>
      <c r="M24" s="83"/>
      <c r="N24" s="84"/>
      <c r="O24" s="78"/>
    </row>
    <row r="25" spans="2:16" x14ac:dyDescent="0.25">
      <c r="B25" s="250"/>
      <c r="C25" s="48" t="s">
        <v>117</v>
      </c>
      <c r="D25" s="64">
        <v>48000</v>
      </c>
      <c r="E25" s="52">
        <f>D25*(1+D48)</f>
        <v>50880</v>
      </c>
      <c r="F25" s="52">
        <f>E25*(1+E48)</f>
        <v>53932.800000000003</v>
      </c>
      <c r="G25" s="52">
        <f t="shared" ref="G25:I25" si="2">F25*(1+F48)</f>
        <v>57168.768000000004</v>
      </c>
      <c r="H25" s="52">
        <f t="shared" si="2"/>
        <v>60598.894080000005</v>
      </c>
      <c r="I25" s="52">
        <f t="shared" si="2"/>
        <v>64234.827724800009</v>
      </c>
      <c r="J25" s="50" t="s">
        <v>118</v>
      </c>
      <c r="K25" s="51" t="s">
        <v>119</v>
      </c>
      <c r="L25" s="78"/>
      <c r="M25" s="78"/>
      <c r="N25" s="78"/>
      <c r="O25" s="78"/>
    </row>
    <row r="26" spans="2:16" x14ac:dyDescent="0.25">
      <c r="B26" s="250"/>
      <c r="C26" s="48" t="s">
        <v>120</v>
      </c>
      <c r="D26" s="85">
        <v>700000</v>
      </c>
      <c r="E26" s="52">
        <f>D26*(1+D48)</f>
        <v>742000</v>
      </c>
      <c r="F26" s="52">
        <f>E26*(1+E48)</f>
        <v>786520</v>
      </c>
      <c r="G26" s="52">
        <f t="shared" ref="G26:I26" si="3">F26*(1+F48)</f>
        <v>833711.20000000007</v>
      </c>
      <c r="H26" s="52">
        <f t="shared" si="3"/>
        <v>883733.87200000009</v>
      </c>
      <c r="I26" s="52">
        <f t="shared" si="3"/>
        <v>936757.90432000009</v>
      </c>
      <c r="J26" s="50" t="s">
        <v>121</v>
      </c>
      <c r="K26" s="51" t="s">
        <v>122</v>
      </c>
      <c r="L26" s="86"/>
      <c r="M26" s="86"/>
      <c r="N26" s="80"/>
      <c r="O26" s="78"/>
    </row>
    <row r="27" spans="2:16" x14ac:dyDescent="0.25">
      <c r="B27" s="250"/>
      <c r="C27" s="48" t="s">
        <v>123</v>
      </c>
      <c r="D27" s="64">
        <v>60000</v>
      </c>
      <c r="E27" s="52">
        <f>D27*(1+D48)</f>
        <v>63600</v>
      </c>
      <c r="F27" s="52">
        <f t="shared" ref="F27:I27" si="4">E27*(1+E48)</f>
        <v>67416</v>
      </c>
      <c r="G27" s="52">
        <f t="shared" si="4"/>
        <v>71460.960000000006</v>
      </c>
      <c r="H27" s="52">
        <f t="shared" si="4"/>
        <v>75748.617600000012</v>
      </c>
      <c r="I27" s="52">
        <f t="shared" si="4"/>
        <v>80293.534656000018</v>
      </c>
      <c r="J27" s="50" t="s">
        <v>124</v>
      </c>
      <c r="K27" s="51" t="s">
        <v>119</v>
      </c>
      <c r="L27" s="78"/>
    </row>
    <row r="28" spans="2:16" x14ac:dyDescent="0.25">
      <c r="B28" s="250"/>
      <c r="C28" s="48" t="s">
        <v>125</v>
      </c>
      <c r="D28" s="64">
        <v>0</v>
      </c>
      <c r="E28" s="52">
        <f>D28*(1+D48)</f>
        <v>0</v>
      </c>
      <c r="F28" s="52">
        <f t="shared" ref="F28:I28" si="5">E28*(1+E48)</f>
        <v>0</v>
      </c>
      <c r="G28" s="52">
        <f t="shared" si="5"/>
        <v>0</v>
      </c>
      <c r="H28" s="52">
        <f t="shared" si="5"/>
        <v>0</v>
      </c>
      <c r="I28" s="52">
        <f t="shared" si="5"/>
        <v>0</v>
      </c>
      <c r="J28" s="50" t="s">
        <v>126</v>
      </c>
      <c r="K28" s="51" t="s">
        <v>127</v>
      </c>
      <c r="L28" s="83"/>
    </row>
    <row r="29" spans="2:16" x14ac:dyDescent="0.25">
      <c r="B29" s="250"/>
      <c r="C29" s="48" t="s">
        <v>128</v>
      </c>
      <c r="D29" s="64">
        <v>0</v>
      </c>
      <c r="E29" s="52">
        <f>D29*(1+D48)</f>
        <v>0</v>
      </c>
      <c r="F29" s="52">
        <f t="shared" ref="F29:I29" si="6">E29*(1+E48)</f>
        <v>0</v>
      </c>
      <c r="G29" s="52">
        <f t="shared" si="6"/>
        <v>0</v>
      </c>
      <c r="H29" s="52">
        <f t="shared" si="6"/>
        <v>0</v>
      </c>
      <c r="I29" s="52">
        <f t="shared" si="6"/>
        <v>0</v>
      </c>
      <c r="J29" s="50" t="s">
        <v>124</v>
      </c>
      <c r="K29" s="51" t="s">
        <v>119</v>
      </c>
      <c r="L29" s="83"/>
    </row>
    <row r="30" spans="2:16" s="63" customFormat="1" x14ac:dyDescent="0.25">
      <c r="B30" s="60"/>
      <c r="C30" s="60"/>
      <c r="D30" s="61"/>
      <c r="E30" s="61"/>
      <c r="F30" s="61"/>
      <c r="G30" s="61"/>
      <c r="H30" s="61"/>
      <c r="I30" s="61"/>
      <c r="J30" s="62"/>
      <c r="K30" s="60"/>
      <c r="L30" s="78"/>
      <c r="M30" s="78"/>
      <c r="N30" s="78"/>
      <c r="O30" s="78"/>
    </row>
    <row r="31" spans="2:16" x14ac:dyDescent="0.25">
      <c r="B31" s="250" t="s">
        <v>129</v>
      </c>
      <c r="C31" s="87" t="s">
        <v>130</v>
      </c>
      <c r="D31" s="69">
        <v>12</v>
      </c>
      <c r="E31" s="69">
        <v>12</v>
      </c>
      <c r="F31" s="69">
        <v>12</v>
      </c>
      <c r="G31" s="69">
        <v>12</v>
      </c>
      <c r="H31" s="69">
        <v>12</v>
      </c>
      <c r="I31" s="69">
        <v>12</v>
      </c>
      <c r="J31" s="88" t="s">
        <v>131</v>
      </c>
      <c r="K31" s="89" t="s">
        <v>132</v>
      </c>
      <c r="L31" s="83"/>
      <c r="M31" s="76"/>
      <c r="N31" s="90"/>
      <c r="O31" s="70"/>
    </row>
    <row r="32" spans="2:16" x14ac:dyDescent="0.25">
      <c r="B32" s="250"/>
      <c r="C32" s="87" t="s">
        <v>133</v>
      </c>
      <c r="D32" s="64">
        <v>10</v>
      </c>
      <c r="E32" s="64">
        <v>10</v>
      </c>
      <c r="F32" s="64">
        <v>10</v>
      </c>
      <c r="G32" s="64">
        <v>10</v>
      </c>
      <c r="H32" s="64">
        <v>10</v>
      </c>
      <c r="I32" s="64">
        <v>10</v>
      </c>
      <c r="J32" s="88" t="s">
        <v>134</v>
      </c>
      <c r="K32" s="91" t="s">
        <v>135</v>
      </c>
      <c r="L32" s="78"/>
      <c r="M32" s="70"/>
      <c r="N32" s="70"/>
      <c r="O32" s="70"/>
    </row>
    <row r="33" spans="2:15" x14ac:dyDescent="0.25">
      <c r="B33" s="250"/>
      <c r="C33" s="48" t="s">
        <v>136</v>
      </c>
      <c r="D33" s="69">
        <v>50</v>
      </c>
      <c r="E33" s="69">
        <v>50</v>
      </c>
      <c r="F33" s="69">
        <v>50</v>
      </c>
      <c r="G33" s="69">
        <v>50</v>
      </c>
      <c r="H33" s="69">
        <v>50</v>
      </c>
      <c r="I33" s="69">
        <v>50</v>
      </c>
      <c r="J33" s="88" t="s">
        <v>112</v>
      </c>
      <c r="K33" s="51" t="s">
        <v>137</v>
      </c>
      <c r="L33" s="70"/>
      <c r="M33" s="76"/>
      <c r="N33" s="90"/>
      <c r="O33" s="70"/>
    </row>
    <row r="34" spans="2:15" x14ac:dyDescent="0.25">
      <c r="B34" s="250"/>
      <c r="C34" s="87" t="s">
        <v>138</v>
      </c>
      <c r="D34" s="64">
        <v>400000</v>
      </c>
      <c r="E34" s="52">
        <f>D34*(1+D48)</f>
        <v>424000</v>
      </c>
      <c r="F34" s="52">
        <f t="shared" ref="F34:I34" si="7">E34*(1+E48)</f>
        <v>449440</v>
      </c>
      <c r="G34" s="52">
        <f t="shared" si="7"/>
        <v>476406.4</v>
      </c>
      <c r="H34" s="52">
        <f t="shared" si="7"/>
        <v>504990.78400000004</v>
      </c>
      <c r="I34" s="52">
        <f t="shared" si="7"/>
        <v>535290.2310400001</v>
      </c>
      <c r="J34" s="88" t="s">
        <v>139</v>
      </c>
      <c r="K34" s="92" t="s">
        <v>140</v>
      </c>
      <c r="L34" s="93"/>
      <c r="M34" s="70"/>
      <c r="N34" s="70"/>
      <c r="O34" s="70"/>
    </row>
    <row r="35" spans="2:15" x14ac:dyDescent="0.25">
      <c r="B35" s="250"/>
      <c r="C35" s="87" t="s">
        <v>141</v>
      </c>
      <c r="D35" s="64">
        <v>48000</v>
      </c>
      <c r="E35" s="52">
        <f>D35*(1+D48)</f>
        <v>50880</v>
      </c>
      <c r="F35" s="52">
        <f>E35*(1+E48)</f>
        <v>53932.800000000003</v>
      </c>
      <c r="G35" s="52">
        <f t="shared" ref="G35:I35" si="8">F35*(1+F48)</f>
        <v>57168.768000000004</v>
      </c>
      <c r="H35" s="52">
        <f t="shared" si="8"/>
        <v>60598.894080000005</v>
      </c>
      <c r="I35" s="52">
        <f t="shared" si="8"/>
        <v>64234.827724800009</v>
      </c>
      <c r="J35" s="88" t="s">
        <v>118</v>
      </c>
      <c r="K35" s="51" t="s">
        <v>119</v>
      </c>
      <c r="L35" s="70"/>
      <c r="M35" s="70"/>
      <c r="N35" s="70"/>
      <c r="O35" s="70"/>
    </row>
    <row r="36" spans="2:15" x14ac:dyDescent="0.25">
      <c r="B36" s="250"/>
      <c r="C36" s="48" t="s">
        <v>142</v>
      </c>
      <c r="D36" s="64">
        <v>700000</v>
      </c>
      <c r="E36" s="52">
        <f>D36*(1+D48)</f>
        <v>742000</v>
      </c>
      <c r="F36" s="52">
        <f t="shared" ref="F36:I36" si="9">E36*(1+E48)</f>
        <v>786520</v>
      </c>
      <c r="G36" s="52">
        <f t="shared" si="9"/>
        <v>833711.20000000007</v>
      </c>
      <c r="H36" s="52">
        <f t="shared" si="9"/>
        <v>883733.87200000009</v>
      </c>
      <c r="I36" s="52">
        <f t="shared" si="9"/>
        <v>936757.90432000009</v>
      </c>
      <c r="J36" s="88" t="s">
        <v>143</v>
      </c>
      <c r="K36" s="92" t="s">
        <v>144</v>
      </c>
      <c r="L36" s="93"/>
      <c r="M36" s="90"/>
      <c r="N36" s="70"/>
    </row>
    <row r="37" spans="2:15" x14ac:dyDescent="0.25">
      <c r="B37" s="250"/>
      <c r="C37" s="48" t="s">
        <v>145</v>
      </c>
      <c r="D37" s="64">
        <v>60000</v>
      </c>
      <c r="E37" s="52">
        <f>D37*(1+D48)</f>
        <v>63600</v>
      </c>
      <c r="F37" s="52">
        <f t="shared" ref="F37:I37" si="10">E37*(1+E48)</f>
        <v>67416</v>
      </c>
      <c r="G37" s="52">
        <f t="shared" si="10"/>
        <v>71460.960000000006</v>
      </c>
      <c r="H37" s="52">
        <f t="shared" si="10"/>
        <v>75748.617600000012</v>
      </c>
      <c r="I37" s="52">
        <f t="shared" si="10"/>
        <v>80293.534656000018</v>
      </c>
      <c r="J37" s="88" t="s">
        <v>124</v>
      </c>
      <c r="K37" s="51" t="s">
        <v>119</v>
      </c>
      <c r="L37" s="70"/>
      <c r="M37" s="70"/>
      <c r="N37" s="70"/>
    </row>
    <row r="38" spans="2:15" x14ac:dyDescent="0.25">
      <c r="B38" s="250"/>
      <c r="C38" s="87" t="s">
        <v>146</v>
      </c>
      <c r="D38" s="64">
        <v>0</v>
      </c>
      <c r="E38" s="52">
        <f t="shared" ref="E38:I38" si="11">D38*(1+D48)</f>
        <v>0</v>
      </c>
      <c r="F38" s="52">
        <f t="shared" si="11"/>
        <v>0</v>
      </c>
      <c r="G38" s="52">
        <f t="shared" si="11"/>
        <v>0</v>
      </c>
      <c r="H38" s="52">
        <f t="shared" si="11"/>
        <v>0</v>
      </c>
      <c r="I38" s="52">
        <f t="shared" si="11"/>
        <v>0</v>
      </c>
      <c r="J38" s="88" t="s">
        <v>147</v>
      </c>
      <c r="K38" s="92" t="s">
        <v>148</v>
      </c>
      <c r="L38" s="83"/>
    </row>
    <row r="39" spans="2:15" x14ac:dyDescent="0.25">
      <c r="B39" s="250"/>
      <c r="C39" s="48" t="s">
        <v>149</v>
      </c>
      <c r="D39" s="64">
        <v>0</v>
      </c>
      <c r="E39" s="52">
        <f>D39*(1+D48)</f>
        <v>0</v>
      </c>
      <c r="F39" s="52">
        <f t="shared" ref="F39:I39" si="12">E39*(1+E48)</f>
        <v>0</v>
      </c>
      <c r="G39" s="52">
        <f t="shared" si="12"/>
        <v>0</v>
      </c>
      <c r="H39" s="52">
        <f t="shared" si="12"/>
        <v>0</v>
      </c>
      <c r="I39" s="52">
        <f t="shared" si="12"/>
        <v>0</v>
      </c>
      <c r="J39" s="88" t="s">
        <v>124</v>
      </c>
      <c r="K39" s="51" t="s">
        <v>119</v>
      </c>
      <c r="L39" s="83"/>
    </row>
    <row r="40" spans="2:15" s="63" customFormat="1" x14ac:dyDescent="0.25">
      <c r="B40" s="60"/>
      <c r="C40" s="60"/>
      <c r="D40" s="94"/>
      <c r="E40" s="94"/>
      <c r="F40" s="94"/>
      <c r="G40" s="94"/>
      <c r="H40" s="94"/>
      <c r="I40" s="94"/>
      <c r="J40" s="94"/>
      <c r="K40" s="94"/>
      <c r="L40" s="78"/>
    </row>
    <row r="41" spans="2:15" x14ac:dyDescent="0.25">
      <c r="B41" s="250" t="s">
        <v>150</v>
      </c>
      <c r="C41" s="95" t="s">
        <v>151</v>
      </c>
      <c r="D41" s="64">
        <v>0</v>
      </c>
      <c r="E41" s="64">
        <f>D41*(1+D$48)</f>
        <v>0</v>
      </c>
      <c r="F41" s="64">
        <f t="shared" ref="F41:I41" si="13">E41*(1+E$48)</f>
        <v>0</v>
      </c>
      <c r="G41" s="64">
        <f t="shared" si="13"/>
        <v>0</v>
      </c>
      <c r="H41" s="64">
        <f t="shared" si="13"/>
        <v>0</v>
      </c>
      <c r="I41" s="64">
        <f t="shared" si="13"/>
        <v>0</v>
      </c>
      <c r="J41" s="50"/>
      <c r="K41" s="92" t="s">
        <v>152</v>
      </c>
      <c r="L41" s="78"/>
    </row>
    <row r="42" spans="2:15" x14ac:dyDescent="0.25">
      <c r="B42" s="250"/>
      <c r="C42" s="95" t="s">
        <v>153</v>
      </c>
      <c r="D42" s="64">
        <v>0</v>
      </c>
      <c r="E42" s="64">
        <f t="shared" ref="E42:I46" si="14">D42*(1+D$48)</f>
        <v>0</v>
      </c>
      <c r="F42" s="64">
        <f t="shared" si="14"/>
        <v>0</v>
      </c>
      <c r="G42" s="64">
        <f t="shared" si="14"/>
        <v>0</v>
      </c>
      <c r="H42" s="64">
        <f t="shared" si="14"/>
        <v>0</v>
      </c>
      <c r="I42" s="64">
        <f t="shared" si="14"/>
        <v>0</v>
      </c>
      <c r="J42" s="50"/>
      <c r="K42" s="92" t="s">
        <v>154</v>
      </c>
      <c r="L42" s="78"/>
    </row>
    <row r="43" spans="2:15" x14ac:dyDescent="0.25">
      <c r="B43" s="250"/>
      <c r="C43" s="95" t="s">
        <v>155</v>
      </c>
      <c r="D43" s="64">
        <v>0</v>
      </c>
      <c r="E43" s="64">
        <f t="shared" si="14"/>
        <v>0</v>
      </c>
      <c r="F43" s="64">
        <f t="shared" si="14"/>
        <v>0</v>
      </c>
      <c r="G43" s="64">
        <f t="shared" si="14"/>
        <v>0</v>
      </c>
      <c r="H43" s="64">
        <f t="shared" si="14"/>
        <v>0</v>
      </c>
      <c r="I43" s="64">
        <f t="shared" si="14"/>
        <v>0</v>
      </c>
      <c r="J43" s="50"/>
      <c r="K43" s="92" t="s">
        <v>156</v>
      </c>
      <c r="L43" s="78"/>
    </row>
    <row r="44" spans="2:15" x14ac:dyDescent="0.25">
      <c r="B44" s="250"/>
      <c r="C44" s="95" t="s">
        <v>157</v>
      </c>
      <c r="D44" s="64">
        <v>0</v>
      </c>
      <c r="E44" s="64">
        <f t="shared" si="14"/>
        <v>0</v>
      </c>
      <c r="F44" s="64">
        <f t="shared" si="14"/>
        <v>0</v>
      </c>
      <c r="G44" s="64">
        <f t="shared" si="14"/>
        <v>0</v>
      </c>
      <c r="H44" s="64">
        <f t="shared" si="14"/>
        <v>0</v>
      </c>
      <c r="I44" s="64">
        <f t="shared" si="14"/>
        <v>0</v>
      </c>
      <c r="J44" s="96"/>
      <c r="K44" s="92" t="s">
        <v>158</v>
      </c>
      <c r="L44" s="78"/>
    </row>
    <row r="45" spans="2:15" x14ac:dyDescent="0.25">
      <c r="B45" s="250"/>
      <c r="C45" s="95" t="s">
        <v>159</v>
      </c>
      <c r="D45" s="64">
        <v>0</v>
      </c>
      <c r="E45" s="64">
        <f t="shared" si="14"/>
        <v>0</v>
      </c>
      <c r="F45" s="64">
        <f t="shared" si="14"/>
        <v>0</v>
      </c>
      <c r="G45" s="64">
        <f t="shared" si="14"/>
        <v>0</v>
      </c>
      <c r="H45" s="64">
        <f t="shared" si="14"/>
        <v>0</v>
      </c>
      <c r="I45" s="64">
        <f t="shared" si="14"/>
        <v>0</v>
      </c>
      <c r="J45" s="58"/>
      <c r="K45" s="92" t="s">
        <v>160</v>
      </c>
    </row>
    <row r="46" spans="2:15" x14ac:dyDescent="0.25">
      <c r="B46" s="250"/>
      <c r="C46" s="95" t="s">
        <v>161</v>
      </c>
      <c r="D46" s="64">
        <v>0</v>
      </c>
      <c r="E46" s="64">
        <f t="shared" si="14"/>
        <v>0</v>
      </c>
      <c r="F46" s="64">
        <f t="shared" si="14"/>
        <v>0</v>
      </c>
      <c r="G46" s="64">
        <f t="shared" si="14"/>
        <v>0</v>
      </c>
      <c r="H46" s="64">
        <f t="shared" si="14"/>
        <v>0</v>
      </c>
      <c r="I46" s="64">
        <f t="shared" si="14"/>
        <v>0</v>
      </c>
      <c r="J46" s="96"/>
      <c r="K46" s="92" t="s">
        <v>162</v>
      </c>
    </row>
    <row r="47" spans="2:15" x14ac:dyDescent="0.25">
      <c r="B47" s="250"/>
      <c r="C47" s="95" t="s">
        <v>163</v>
      </c>
      <c r="D47" s="66">
        <v>0.15</v>
      </c>
      <c r="E47" s="66">
        <v>0.15</v>
      </c>
      <c r="F47" s="66">
        <v>0.15</v>
      </c>
      <c r="G47" s="66">
        <v>0.15</v>
      </c>
      <c r="H47" s="66">
        <v>0.15</v>
      </c>
      <c r="I47" s="66">
        <v>0.15</v>
      </c>
      <c r="J47" s="50" t="s">
        <v>164</v>
      </c>
      <c r="K47" s="51" t="s">
        <v>165</v>
      </c>
    </row>
    <row r="48" spans="2:15" x14ac:dyDescent="0.25">
      <c r="B48" s="250"/>
      <c r="C48" s="48" t="s">
        <v>166</v>
      </c>
      <c r="D48" s="66">
        <v>0.06</v>
      </c>
      <c r="E48" s="66">
        <f>$D$48</f>
        <v>0.06</v>
      </c>
      <c r="F48" s="66">
        <f>$D$48</f>
        <v>0.06</v>
      </c>
      <c r="G48" s="66">
        <f>$D$48</f>
        <v>0.06</v>
      </c>
      <c r="H48" s="66">
        <f>$D$48</f>
        <v>0.06</v>
      </c>
      <c r="I48" s="66">
        <f>$D$48</f>
        <v>0.06</v>
      </c>
      <c r="J48" s="50" t="s">
        <v>167</v>
      </c>
      <c r="K48" s="92" t="s">
        <v>168</v>
      </c>
    </row>
    <row r="49" spans="2:11" s="63" customFormat="1" x14ac:dyDescent="0.25">
      <c r="B49" s="60"/>
      <c r="C49" s="67"/>
      <c r="D49" s="60"/>
      <c r="E49" s="60"/>
      <c r="F49" s="60"/>
      <c r="G49" s="60"/>
      <c r="H49" s="60"/>
      <c r="I49" s="60"/>
      <c r="J49" s="50"/>
      <c r="K49" s="60"/>
    </row>
    <row r="50" spans="2:11" x14ac:dyDescent="0.25">
      <c r="B50" s="246" t="s">
        <v>169</v>
      </c>
      <c r="C50" s="51" t="s">
        <v>170</v>
      </c>
      <c r="D50" s="97">
        <v>0</v>
      </c>
      <c r="E50" s="97">
        <v>0</v>
      </c>
      <c r="F50" s="97">
        <v>0</v>
      </c>
      <c r="G50" s="97">
        <v>0</v>
      </c>
      <c r="H50" s="97">
        <v>0</v>
      </c>
      <c r="I50" s="97">
        <v>0</v>
      </c>
      <c r="J50" s="50" t="s">
        <v>80</v>
      </c>
      <c r="K50" s="51" t="s">
        <v>171</v>
      </c>
    </row>
    <row r="51" spans="2:11" x14ac:dyDescent="0.25">
      <c r="B51" s="247"/>
      <c r="C51" s="51" t="s">
        <v>172</v>
      </c>
      <c r="D51" s="64">
        <v>10000000</v>
      </c>
      <c r="E51" s="97"/>
      <c r="F51" s="97"/>
      <c r="G51" s="97"/>
      <c r="H51" s="97"/>
      <c r="I51" s="97"/>
      <c r="J51" s="50" t="s">
        <v>80</v>
      </c>
      <c r="K51" s="51" t="s">
        <v>173</v>
      </c>
    </row>
    <row r="52" spans="2:11" x14ac:dyDescent="0.25">
      <c r="B52" s="70"/>
      <c r="C52" s="98"/>
      <c r="D52" s="70"/>
    </row>
    <row r="53" spans="2:11" x14ac:dyDescent="0.25">
      <c r="B53" s="70"/>
      <c r="C53" s="98"/>
      <c r="D53" s="70"/>
    </row>
    <row r="54" spans="2:11" x14ac:dyDescent="0.25">
      <c r="B54" s="70"/>
      <c r="C54" s="98"/>
      <c r="D54" s="70"/>
    </row>
    <row r="55" spans="2:11" x14ac:dyDescent="0.25">
      <c r="B55" s="70"/>
      <c r="C55" s="98"/>
      <c r="D55" s="70"/>
    </row>
    <row r="56" spans="2:11" x14ac:dyDescent="0.25">
      <c r="B56" s="70"/>
      <c r="C56" s="98"/>
      <c r="D56" s="70"/>
    </row>
    <row r="57" spans="2:11" x14ac:dyDescent="0.25">
      <c r="B57" s="70"/>
      <c r="C57" s="99"/>
      <c r="D57" s="70"/>
    </row>
    <row r="58" spans="2:11" x14ac:dyDescent="0.25">
      <c r="B58" s="70"/>
      <c r="C58" s="70"/>
      <c r="D58" s="70"/>
    </row>
  </sheetData>
  <mergeCells count="7">
    <mergeCell ref="B50:B51"/>
    <mergeCell ref="E2:I2"/>
    <mergeCell ref="B4:B13"/>
    <mergeCell ref="B15:B18"/>
    <mergeCell ref="B20:B29"/>
    <mergeCell ref="B31:B39"/>
    <mergeCell ref="B41:B48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2:N61"/>
  <sheetViews>
    <sheetView showGridLines="0" zoomScale="90" zoomScaleNormal="90" workbookViewId="0">
      <selection activeCell="I15" sqref="I15"/>
    </sheetView>
  </sheetViews>
  <sheetFormatPr defaultColWidth="9.140625" defaultRowHeight="15.75" x14ac:dyDescent="0.25"/>
  <cols>
    <col min="1" max="1" width="9.140625" style="41"/>
    <col min="2" max="2" width="22.42578125" style="100" bestFit="1" customWidth="1"/>
    <col min="3" max="3" width="61.7109375" style="41" bestFit="1" customWidth="1"/>
    <col min="4" max="4" width="14.5703125" style="41" bestFit="1" customWidth="1"/>
    <col min="5" max="5" width="29" style="41" bestFit="1" customWidth="1"/>
    <col min="6" max="7" width="16.42578125" style="41" bestFit="1" customWidth="1"/>
    <col min="8" max="9" width="17.7109375" style="41" bestFit="1" customWidth="1"/>
    <col min="10" max="10" width="50.7109375" style="41" customWidth="1"/>
    <col min="11" max="16384" width="9.140625" style="41"/>
  </cols>
  <sheetData>
    <row r="2" spans="2:10" x14ac:dyDescent="0.25">
      <c r="B2" s="250" t="s">
        <v>174</v>
      </c>
      <c r="C2" s="101" t="s">
        <v>175</v>
      </c>
      <c r="D2" s="102">
        <f>(MIN(D54:I54)*(-1))-D55</f>
        <v>1.2356064482770002</v>
      </c>
    </row>
    <row r="3" spans="2:10" ht="16.5" thickBot="1" x14ac:dyDescent="0.3">
      <c r="B3" s="250"/>
      <c r="C3" s="101" t="s">
        <v>176</v>
      </c>
      <c r="D3" s="103">
        <f>IF((COUNTIF(E52:I52,"&lt;0"))=5,"NA", (COUNTIF(E52:I52,"&lt;0"))+1)</f>
        <v>4</v>
      </c>
    </row>
    <row r="4" spans="2:10" x14ac:dyDescent="0.25">
      <c r="B4" s="250"/>
      <c r="C4" s="101" t="s">
        <v>177</v>
      </c>
      <c r="D4" s="104">
        <f>IF(COUNTIF(E54:I54,"&lt;0")=5,"NA",(COUNTIF(E54:I54,"&lt;0")+1))</f>
        <v>5</v>
      </c>
      <c r="E4" s="105"/>
      <c r="F4" s="105"/>
      <c r="G4" s="105"/>
      <c r="H4" s="105"/>
      <c r="I4" s="105"/>
    </row>
    <row r="5" spans="2:10" s="78" customFormat="1" x14ac:dyDescent="0.25">
      <c r="B5" s="106"/>
      <c r="C5" s="107"/>
      <c r="D5" s="108"/>
      <c r="E5" s="109"/>
      <c r="F5" s="109"/>
      <c r="G5" s="109"/>
      <c r="H5" s="109"/>
      <c r="I5" s="109"/>
    </row>
    <row r="6" spans="2:10" s="78" customFormat="1" x14ac:dyDescent="0.25">
      <c r="B6" s="110"/>
      <c r="C6" s="107"/>
      <c r="D6" s="108"/>
      <c r="E6" s="109"/>
      <c r="F6" s="109"/>
      <c r="G6" s="109"/>
      <c r="H6" s="109"/>
      <c r="I6" s="109"/>
    </row>
    <row r="7" spans="2:10" x14ac:dyDescent="0.25">
      <c r="B7" s="111"/>
      <c r="C7" s="112"/>
      <c r="D7" s="112" t="s">
        <v>48</v>
      </c>
      <c r="E7" s="251" t="s">
        <v>49</v>
      </c>
      <c r="F7" s="252"/>
      <c r="G7" s="252"/>
      <c r="H7" s="252"/>
      <c r="I7" s="253"/>
    </row>
    <row r="8" spans="2:10" x14ac:dyDescent="0.25">
      <c r="B8" s="113"/>
      <c r="C8" s="114"/>
      <c r="D8" s="114"/>
      <c r="E8" s="115" t="s">
        <v>51</v>
      </c>
      <c r="F8" s="115" t="s">
        <v>52</v>
      </c>
      <c r="G8" s="115" t="s">
        <v>53</v>
      </c>
      <c r="H8" s="115" t="s">
        <v>54</v>
      </c>
      <c r="I8" s="116" t="s">
        <v>55</v>
      </c>
    </row>
    <row r="9" spans="2:10" s="63" customFormat="1" x14ac:dyDescent="0.25">
      <c r="B9" s="250" t="s">
        <v>178</v>
      </c>
      <c r="C9" s="117" t="s">
        <v>179</v>
      </c>
      <c r="D9" s="118">
        <f t="shared" ref="D9:I9" si="0">SUM(D10:D11)</f>
        <v>10</v>
      </c>
      <c r="E9" s="118">
        <f t="shared" si="0"/>
        <v>32</v>
      </c>
      <c r="F9" s="118">
        <f t="shared" si="0"/>
        <v>64</v>
      </c>
      <c r="G9" s="118">
        <f t="shared" si="0"/>
        <v>122</v>
      </c>
      <c r="H9" s="118">
        <f t="shared" si="0"/>
        <v>187</v>
      </c>
      <c r="I9" s="118">
        <f t="shared" si="0"/>
        <v>270</v>
      </c>
    </row>
    <row r="10" spans="2:10" x14ac:dyDescent="0.25">
      <c r="B10" s="250"/>
      <c r="C10" s="119" t="s">
        <v>180</v>
      </c>
      <c r="D10" s="52">
        <f>'Model assumptions'!D11</f>
        <v>0</v>
      </c>
      <c r="E10" s="52">
        <f>D31*'Model assumptions'!D20</f>
        <v>24</v>
      </c>
      <c r="F10" s="52">
        <f>E31*'Model assumptions'!E20</f>
        <v>40</v>
      </c>
      <c r="G10" s="52">
        <f>F31*'Model assumptions'!F20</f>
        <v>72</v>
      </c>
      <c r="H10" s="52">
        <f>G31*'Model assumptions'!G20</f>
        <v>90</v>
      </c>
      <c r="I10" s="52">
        <f>H31*'Model assumptions'!H20</f>
        <v>120</v>
      </c>
      <c r="J10" s="43"/>
    </row>
    <row r="11" spans="2:10" x14ac:dyDescent="0.25">
      <c r="B11" s="250"/>
      <c r="C11" s="120" t="s">
        <v>181</v>
      </c>
      <c r="D11" s="52">
        <f>'Model assumptions'!D12</f>
        <v>10</v>
      </c>
      <c r="E11" s="121">
        <f>ROUNDUP((D9*'Model assumptions'!D10),0)</f>
        <v>8</v>
      </c>
      <c r="F11" s="121">
        <f>ROUNDUP((E9*'Model assumptions'!E10),0)</f>
        <v>24</v>
      </c>
      <c r="G11" s="121">
        <f>ROUNDUP((F9*'Model assumptions'!F10),0)</f>
        <v>50</v>
      </c>
      <c r="H11" s="121">
        <f>ROUNDUP((G9*'Model assumptions'!G10),0)</f>
        <v>97</v>
      </c>
      <c r="I11" s="121">
        <f>ROUNDUP((H9*'Model assumptions'!H10),0)</f>
        <v>150</v>
      </c>
    </row>
    <row r="12" spans="2:10" s="63" customFormat="1" x14ac:dyDescent="0.25">
      <c r="B12" s="122"/>
      <c r="C12" s="120"/>
      <c r="D12" s="123"/>
      <c r="E12" s="123"/>
      <c r="F12" s="124"/>
      <c r="G12" s="124"/>
      <c r="H12" s="124"/>
      <c r="I12" s="124"/>
    </row>
    <row r="13" spans="2:10" x14ac:dyDescent="0.25">
      <c r="B13" s="125" t="s">
        <v>182</v>
      </c>
      <c r="C13" s="117" t="s">
        <v>183</v>
      </c>
      <c r="D13" s="118">
        <f>D9*'Model assumptions'!D5*'Model assumptions'!D4</f>
        <v>900</v>
      </c>
      <c r="E13" s="118">
        <f>E9*'Model assumptions'!E5*'Model assumptions'!E4</f>
        <v>2880</v>
      </c>
      <c r="F13" s="118">
        <f>F9*'Model assumptions'!F5*'Model assumptions'!F4</f>
        <v>7680</v>
      </c>
      <c r="G13" s="118">
        <f>G9*'Model assumptions'!G5*'Model assumptions'!G4</f>
        <v>14640</v>
      </c>
      <c r="H13" s="118">
        <f>H9*'Model assumptions'!H5*'Model assumptions'!H4</f>
        <v>28050</v>
      </c>
      <c r="I13" s="118">
        <f>I9*'Model assumptions'!I5*'Model assumptions'!I4</f>
        <v>48600</v>
      </c>
    </row>
    <row r="14" spans="2:10" s="63" customFormat="1" x14ac:dyDescent="0.25">
      <c r="B14" s="122"/>
      <c r="C14" s="120"/>
      <c r="D14" s="123"/>
      <c r="E14" s="123"/>
      <c r="F14" s="123"/>
      <c r="G14" s="123"/>
      <c r="H14" s="123"/>
      <c r="I14" s="123"/>
    </row>
    <row r="15" spans="2:10" x14ac:dyDescent="0.25">
      <c r="B15" s="250" t="s">
        <v>57</v>
      </c>
      <c r="C15" s="117" t="s">
        <v>184</v>
      </c>
      <c r="D15" s="126">
        <f>(((D16*D21)+(D19*D22)+(D20*D23))*(1-'Model assumptions'!D13))/'Model assumptions'!$D$51</f>
        <v>0.13313249999999999</v>
      </c>
      <c r="E15" s="126">
        <f>(((E16*E21)+(E19*E22)+(E20*E23))*(1-'Model assumptions'!E13))/'Model assumptions'!$D$51</f>
        <v>0.46683000000000002</v>
      </c>
      <c r="F15" s="126">
        <f>(((F16*F21)+(F19*F22)+(F20*F23))*(1-'Model assumptions'!F13))/'Model assumptions'!$D$51</f>
        <v>1.3049487359999998</v>
      </c>
      <c r="G15" s="126">
        <f>(((G16*G21)+(G19*G22)+(G20*G23))*(1-'Model assumptions'!G13))/'Model assumptions'!$D$51</f>
        <v>2.5863590188800001</v>
      </c>
      <c r="H15" s="126">
        <f>(((H16*H21)+(H19*H22)+(H20*H23))*(1-'Model assumptions'!H13))/'Model assumptions'!$D$51</f>
        <v>5.2009701929640002</v>
      </c>
      <c r="I15" s="126">
        <f>(((I16*I21)+(I19*I22)+(I20*I23))*(1-'Model assumptions'!I13))/'Model assumptions'!$D$51</f>
        <v>9.4241035095480008</v>
      </c>
    </row>
    <row r="16" spans="2:10" x14ac:dyDescent="0.25">
      <c r="B16" s="250"/>
      <c r="C16" s="120" t="s">
        <v>185</v>
      </c>
      <c r="D16" s="52">
        <f>D9*'Model assumptions'!D5*'Model assumptions'!D4</f>
        <v>900</v>
      </c>
      <c r="E16" s="52">
        <f>E9*'Model assumptions'!E5*'Model assumptions'!E4</f>
        <v>2880</v>
      </c>
      <c r="F16" s="52">
        <f>F9*'Model assumptions'!F5*'Model assumptions'!F4</f>
        <v>7680</v>
      </c>
      <c r="G16" s="52">
        <f>G9*'Model assumptions'!G5*'Model assumptions'!G4</f>
        <v>14640</v>
      </c>
      <c r="H16" s="52">
        <f>H9*'Model assumptions'!H5*'Model assumptions'!H4</f>
        <v>28050</v>
      </c>
      <c r="I16" s="52">
        <f>I9*'Model assumptions'!I5*'Model assumptions'!I4</f>
        <v>48600</v>
      </c>
    </row>
    <row r="17" spans="2:10" x14ac:dyDescent="0.25">
      <c r="B17" s="250"/>
      <c r="C17" s="120" t="s">
        <v>186</v>
      </c>
      <c r="D17" s="52">
        <f>IFERROR(D11*('Model assumptions'!D5-'Model assumptions'!D5),"-")</f>
        <v>0</v>
      </c>
      <c r="E17" s="52">
        <f>E11*('Model assumptions'!E5-'Model assumptions'!D5)</f>
        <v>0</v>
      </c>
      <c r="F17" s="52">
        <f>F11*('Model assumptions'!F5-'Model assumptions'!E5)</f>
        <v>24</v>
      </c>
      <c r="G17" s="52">
        <f>G11*('Model assumptions'!G5-'Model assumptions'!F5)</f>
        <v>0</v>
      </c>
      <c r="H17" s="52">
        <f>H11*('Model assumptions'!H5-'Model assumptions'!G5)</f>
        <v>97</v>
      </c>
      <c r="I17" s="52">
        <f>I11*('Model assumptions'!I5-'Model assumptions'!H5)</f>
        <v>150</v>
      </c>
    </row>
    <row r="18" spans="2:10" x14ac:dyDescent="0.25">
      <c r="B18" s="250"/>
      <c r="C18" s="120" t="s">
        <v>187</v>
      </c>
      <c r="D18" s="52">
        <f>D10*'Model assumptions'!D5</f>
        <v>0</v>
      </c>
      <c r="E18" s="52">
        <f>E10*'Model assumptions'!E5</f>
        <v>72</v>
      </c>
      <c r="F18" s="52">
        <f>F10*'Model assumptions'!F5</f>
        <v>160</v>
      </c>
      <c r="G18" s="52">
        <f>G10*'Model assumptions'!G5</f>
        <v>288</v>
      </c>
      <c r="H18" s="52">
        <f>H10*'Model assumptions'!H5</f>
        <v>450</v>
      </c>
      <c r="I18" s="52">
        <f>I10*'Model assumptions'!I5</f>
        <v>720</v>
      </c>
    </row>
    <row r="19" spans="2:10" x14ac:dyDescent="0.25">
      <c r="B19" s="250"/>
      <c r="C19" s="120" t="s">
        <v>188</v>
      </c>
      <c r="D19" s="52">
        <f>SUM(D17:D18)</f>
        <v>0</v>
      </c>
      <c r="E19" s="52">
        <f t="shared" ref="E19:H19" si="1">SUM(E17:E18)</f>
        <v>72</v>
      </c>
      <c r="F19" s="52">
        <f>SUM(F17:F18)</f>
        <v>184</v>
      </c>
      <c r="G19" s="52">
        <f t="shared" si="1"/>
        <v>288</v>
      </c>
      <c r="H19" s="52">
        <f t="shared" si="1"/>
        <v>547</v>
      </c>
      <c r="I19" s="52">
        <f>SUM(I17:I18)</f>
        <v>870</v>
      </c>
    </row>
    <row r="20" spans="2:10" x14ac:dyDescent="0.25">
      <c r="B20" s="250"/>
      <c r="C20" s="119" t="s">
        <v>189</v>
      </c>
      <c r="D20" s="52">
        <f>D10</f>
        <v>0</v>
      </c>
      <c r="E20" s="52">
        <f t="shared" ref="E20:I20" si="2">E10</f>
        <v>24</v>
      </c>
      <c r="F20" s="52">
        <f t="shared" si="2"/>
        <v>40</v>
      </c>
      <c r="G20" s="52">
        <f t="shared" si="2"/>
        <v>72</v>
      </c>
      <c r="H20" s="52">
        <f t="shared" si="2"/>
        <v>90</v>
      </c>
      <c r="I20" s="52">
        <f t="shared" si="2"/>
        <v>120</v>
      </c>
    </row>
    <row r="21" spans="2:10" x14ac:dyDescent="0.25">
      <c r="B21" s="250"/>
      <c r="C21" s="119" t="s">
        <v>190</v>
      </c>
      <c r="D21" s="52">
        <f>'Model assumptions'!D6</f>
        <v>1525</v>
      </c>
      <c r="E21" s="52">
        <f>'Model assumptions'!E6</f>
        <v>1601.25</v>
      </c>
      <c r="F21" s="52">
        <f>'Model assumptions'!F6</f>
        <v>1665.3</v>
      </c>
      <c r="G21" s="52">
        <f>'Model assumptions'!G6</f>
        <v>1731.912</v>
      </c>
      <c r="H21" s="52">
        <f>'Model assumptions'!H6</f>
        <v>1818.5076000000001</v>
      </c>
      <c r="I21" s="52">
        <f>'Model assumptions'!I6</f>
        <v>1909.4329800000003</v>
      </c>
    </row>
    <row r="22" spans="2:10" x14ac:dyDescent="0.25">
      <c r="B22" s="250"/>
      <c r="C22" s="60" t="s">
        <v>191</v>
      </c>
      <c r="D22" s="52">
        <f>'Model assumptions'!D7</f>
        <v>4000</v>
      </c>
      <c r="E22" s="52">
        <f>'Model assumptions'!E7</f>
        <v>4200</v>
      </c>
      <c r="F22" s="52">
        <f>'Model assumptions'!F7</f>
        <v>4368</v>
      </c>
      <c r="G22" s="52">
        <f>'Model assumptions'!G7</f>
        <v>4542.72</v>
      </c>
      <c r="H22" s="52">
        <f>'Model assumptions'!H7</f>
        <v>4769.8560000000007</v>
      </c>
      <c r="I22" s="52">
        <f>'Model assumptions'!I7</f>
        <v>5008.3488000000007</v>
      </c>
    </row>
    <row r="23" spans="2:10" x14ac:dyDescent="0.25">
      <c r="B23" s="250"/>
      <c r="C23" s="120" t="s">
        <v>192</v>
      </c>
      <c r="D23" s="52">
        <f>'Model assumptions'!D8</f>
        <v>0</v>
      </c>
      <c r="E23" s="52">
        <f>'Model assumptions'!E8</f>
        <v>0</v>
      </c>
      <c r="F23" s="52">
        <f>'Model assumptions'!F8</f>
        <v>0</v>
      </c>
      <c r="G23" s="52">
        <f>'Model assumptions'!G8</f>
        <v>0</v>
      </c>
      <c r="H23" s="52">
        <f>'Model assumptions'!H8</f>
        <v>0</v>
      </c>
      <c r="I23" s="52">
        <f>'Model assumptions'!I8</f>
        <v>0</v>
      </c>
    </row>
    <row r="24" spans="2:10" s="63" customFormat="1" x14ac:dyDescent="0.25">
      <c r="B24" s="122"/>
      <c r="C24" s="120"/>
      <c r="D24" s="123"/>
      <c r="E24" s="135"/>
      <c r="F24" s="135"/>
      <c r="G24" s="135"/>
      <c r="H24" s="135"/>
      <c r="I24" s="135"/>
    </row>
    <row r="25" spans="2:10" x14ac:dyDescent="0.25">
      <c r="B25" s="250" t="s">
        <v>88</v>
      </c>
      <c r="C25" s="128" t="s">
        <v>193</v>
      </c>
      <c r="D25" s="126">
        <f>((D16*D26)+(D19*D27)+(D20*D28))/'Model assumptions'!$D$51</f>
        <v>5.1749999999999997E-2</v>
      </c>
      <c r="E25" s="126">
        <f>((E16*E26)+(E19*E27)+(E20*E28))/'Model assumptions'!$D$51</f>
        <v>0.19925999999999999</v>
      </c>
      <c r="F25" s="126">
        <f>((F16*F26)+(F19*F27)+(F20*F28))/'Model assumptions'!$D$51</f>
        <v>0.54128200000000004</v>
      </c>
      <c r="G25" s="126">
        <f>((G16*G26)+(G19*G27)+(G20*G28))/'Model assumptions'!$D$51</f>
        <v>1.030584328125</v>
      </c>
      <c r="H25" s="126">
        <f>((H16*H26)+(H19*H27)+(H20*H28))/'Model assumptions'!$D$51</f>
        <v>2.0218264764355465</v>
      </c>
      <c r="I25" s="126">
        <f>((I16*I26)+(I19*I27)+(I20*I28))/'Model assumptions'!$D$51</f>
        <v>3.5554503090087874</v>
      </c>
      <c r="J25" s="129"/>
    </row>
    <row r="26" spans="2:10" x14ac:dyDescent="0.25">
      <c r="B26" s="250"/>
      <c r="C26" s="119" t="s">
        <v>194</v>
      </c>
      <c r="D26" s="52">
        <f>'Model assumptions'!D15</f>
        <v>575</v>
      </c>
      <c r="E26" s="52">
        <f>'Model assumptions'!E15</f>
        <v>589.375</v>
      </c>
      <c r="F26" s="52">
        <f>'Model assumptions'!F15</f>
        <v>604.109375</v>
      </c>
      <c r="G26" s="52">
        <f>'Model assumptions'!G15</f>
        <v>619.21210937499995</v>
      </c>
      <c r="H26" s="52">
        <f>'Model assumptions'!H15</f>
        <v>634.69241210937491</v>
      </c>
      <c r="I26" s="52">
        <f>'Model assumptions'!I15</f>
        <v>650.55972241210918</v>
      </c>
    </row>
    <row r="27" spans="2:10" x14ac:dyDescent="0.25">
      <c r="B27" s="250"/>
      <c r="C27" s="119" t="s">
        <v>195</v>
      </c>
      <c r="D27" s="52">
        <f>'Model assumptions'!D16</f>
        <v>4000</v>
      </c>
      <c r="E27" s="52">
        <f>'Model assumptions'!E16</f>
        <v>4100</v>
      </c>
      <c r="F27" s="52">
        <f>'Model assumptions'!F16</f>
        <v>4202.5</v>
      </c>
      <c r="G27" s="52">
        <f>'Model assumptions'!G16</f>
        <v>4307.5625</v>
      </c>
      <c r="H27" s="52">
        <f>'Model assumptions'!H16</f>
        <v>4415.2515624999996</v>
      </c>
      <c r="I27" s="52">
        <f>'Model assumptions'!I16</f>
        <v>4525.6328515624991</v>
      </c>
    </row>
    <row r="28" spans="2:10" x14ac:dyDescent="0.25">
      <c r="B28" s="250"/>
      <c r="C28" s="119" t="s">
        <v>196</v>
      </c>
      <c r="D28" s="52">
        <f>'Model assumptions'!D17</f>
        <v>0</v>
      </c>
      <c r="E28" s="52">
        <f>'Model assumptions'!E17</f>
        <v>0</v>
      </c>
      <c r="F28" s="52">
        <f>'Model assumptions'!F17</f>
        <v>0</v>
      </c>
      <c r="G28" s="52">
        <f>'Model assumptions'!G17</f>
        <v>0</v>
      </c>
      <c r="H28" s="52">
        <f>'Model assumptions'!H17</f>
        <v>0</v>
      </c>
      <c r="I28" s="52">
        <f>'Model assumptions'!I17</f>
        <v>0</v>
      </c>
    </row>
    <row r="29" spans="2:10" s="63" customFormat="1" x14ac:dyDescent="0.25">
      <c r="B29" s="122"/>
      <c r="C29" s="128"/>
      <c r="D29" s="127"/>
      <c r="E29" s="224"/>
      <c r="F29" s="224"/>
      <c r="G29" s="224"/>
      <c r="H29" s="224"/>
      <c r="I29" s="224"/>
    </row>
    <row r="30" spans="2:10" x14ac:dyDescent="0.25">
      <c r="B30" s="250" t="s">
        <v>197</v>
      </c>
      <c r="C30" s="117" t="s">
        <v>198</v>
      </c>
      <c r="D30" s="126">
        <f>((D31*D34)+(D32*D35)+(D33*D36))/'Model assumptions'!$D$51</f>
        <v>0.2104</v>
      </c>
      <c r="E30" s="126">
        <f>((E31*E34)+(E32*E35)+(E33*E36))/'Model assumptions'!$D$51</f>
        <v>0.318</v>
      </c>
      <c r="F30" s="126">
        <f>((F31*F34)+(F32*F35)+(F33*F36))/'Model assumptions'!$D$51</f>
        <v>0.48809184000000005</v>
      </c>
      <c r="G30" s="126">
        <f>((G31*G34)+(G32*G35)+(G33*G36))/'Model assumptions'!$D$51</f>
        <v>0.71460960000000007</v>
      </c>
      <c r="H30" s="126">
        <f>((H31*H34)+(H32*H35)+(H33*H36))/'Model assumptions'!$D$51</f>
        <v>0.87060411161600015</v>
      </c>
      <c r="I30" s="126">
        <f>((I31*I34)+(I32*I35)+(I33*I36))/'Model assumptions'!$D$51</f>
        <v>1.0427453700659202</v>
      </c>
    </row>
    <row r="31" spans="2:10" x14ac:dyDescent="0.25">
      <c r="B31" s="250"/>
      <c r="C31" s="119" t="s">
        <v>199</v>
      </c>
      <c r="D31" s="52">
        <f>'Model assumptions'!D21</f>
        <v>3</v>
      </c>
      <c r="E31" s="52">
        <f>'Model assumptions'!E21</f>
        <v>5</v>
      </c>
      <c r="F31" s="52">
        <f>'Model assumptions'!F21</f>
        <v>8</v>
      </c>
      <c r="G31" s="52">
        <f>'Model assumptions'!G21</f>
        <v>10</v>
      </c>
      <c r="H31" s="52">
        <f>'Model assumptions'!H21</f>
        <v>12</v>
      </c>
      <c r="I31" s="52">
        <f>'Model assumptions'!I21</f>
        <v>14</v>
      </c>
    </row>
    <row r="32" spans="2:10" x14ac:dyDescent="0.25">
      <c r="B32" s="250"/>
      <c r="C32" s="120" t="s">
        <v>200</v>
      </c>
      <c r="D32" s="52">
        <f>ROUNDUP(D31/'Model assumptions'!D22, 0)</f>
        <v>1</v>
      </c>
      <c r="E32" s="52">
        <f>ROUNDUP(E31/'Model assumptions'!E22, 0)</f>
        <v>1</v>
      </c>
      <c r="F32" s="52">
        <f>ROUNDUP(F31/'Model assumptions'!F22, 0)</f>
        <v>1</v>
      </c>
      <c r="G32" s="52">
        <f>ROUNDUP(G31/'Model assumptions'!G22, 0)</f>
        <v>2</v>
      </c>
      <c r="H32" s="52">
        <f>ROUNDUP(H31/'Model assumptions'!H22, 0)</f>
        <v>2</v>
      </c>
      <c r="I32" s="52">
        <f>ROUNDUP(I31/'Model assumptions'!I22, 0)</f>
        <v>2</v>
      </c>
    </row>
    <row r="33" spans="2:14" x14ac:dyDescent="0.25">
      <c r="B33" s="250"/>
      <c r="C33" s="120" t="s">
        <v>201</v>
      </c>
      <c r="D33" s="130" t="str">
        <f>IF(E9&gt;='Model assumptions'!D23,"1","0")</f>
        <v>0</v>
      </c>
      <c r="E33" s="130" t="str">
        <f>IF(F9&gt;='Model assumptions'!E23,"1","0")</f>
        <v>1</v>
      </c>
      <c r="F33" s="130" t="str">
        <f>IF(G9&gt;='Model assumptions'!F23,"1","0")</f>
        <v>1</v>
      </c>
      <c r="G33" s="130" t="str">
        <f>IF(H9&gt;='Model assumptions'!G23,"1","0")</f>
        <v>1</v>
      </c>
      <c r="H33" s="130" t="str">
        <f>IF(I9&gt;='Model assumptions'!H23,"1","0")</f>
        <v>1</v>
      </c>
      <c r="I33" s="130" t="str">
        <f>IF(I9&gt;='Model assumptions'!I23,"1","0")</f>
        <v>1</v>
      </c>
    </row>
    <row r="34" spans="2:14" x14ac:dyDescent="0.25">
      <c r="B34" s="250"/>
      <c r="C34" s="119" t="s">
        <v>202</v>
      </c>
      <c r="D34" s="52">
        <f>'Model assumptions'!D24+'Model assumptions'!D25</f>
        <v>448000</v>
      </c>
      <c r="E34" s="52">
        <f>'Model assumptions'!E24+'Model assumptions'!E25</f>
        <v>474880</v>
      </c>
      <c r="F34" s="52">
        <f>'Model assumptions'!F24+'Model assumptions'!F25</f>
        <v>503372.79999999999</v>
      </c>
      <c r="G34" s="52">
        <f>'Model assumptions'!G24+'Model assumptions'!G25</f>
        <v>533575.16800000006</v>
      </c>
      <c r="H34" s="52">
        <f>'Model assumptions'!H24+'Model assumptions'!H25</f>
        <v>565589.6780800001</v>
      </c>
      <c r="I34" s="52">
        <f>'Model assumptions'!I24+'Model assumptions'!I25</f>
        <v>599525.05876480008</v>
      </c>
    </row>
    <row r="35" spans="2:14" x14ac:dyDescent="0.25">
      <c r="B35" s="250"/>
      <c r="C35" s="119" t="s">
        <v>203</v>
      </c>
      <c r="D35" s="52">
        <f>'Model assumptions'!D26+'Model assumptions'!D27</f>
        <v>760000</v>
      </c>
      <c r="E35" s="52">
        <f>'Model assumptions'!E26+'Model assumptions'!E27</f>
        <v>805600</v>
      </c>
      <c r="F35" s="52">
        <f>'Model assumptions'!F26+'Model assumptions'!F27</f>
        <v>853936</v>
      </c>
      <c r="G35" s="52">
        <f>'Model assumptions'!G26+'Model assumptions'!G27</f>
        <v>905172.16</v>
      </c>
      <c r="H35" s="52">
        <f>'Model assumptions'!H26+'Model assumptions'!H27</f>
        <v>959482.48960000009</v>
      </c>
      <c r="I35" s="52">
        <f>'Model assumptions'!I26+'Model assumptions'!I27</f>
        <v>1017051.4389760001</v>
      </c>
    </row>
    <row r="36" spans="2:14" x14ac:dyDescent="0.25">
      <c r="B36" s="250"/>
      <c r="C36" s="119" t="s">
        <v>204</v>
      </c>
      <c r="D36" s="52">
        <f>'Model assumptions'!D28+'Model assumptions'!D29</f>
        <v>0</v>
      </c>
      <c r="E36" s="52">
        <f>'Model assumptions'!E28+'Model assumptions'!E29</f>
        <v>0</v>
      </c>
      <c r="F36" s="52">
        <f>'Model assumptions'!F28+'Model assumptions'!F29</f>
        <v>0</v>
      </c>
      <c r="G36" s="52">
        <f>'Model assumptions'!G28+'Model assumptions'!G29</f>
        <v>0</v>
      </c>
      <c r="H36" s="52">
        <f>'Model assumptions'!H28+'Model assumptions'!H29</f>
        <v>0</v>
      </c>
      <c r="I36" s="52">
        <f>'Model assumptions'!I28+'Model assumptions'!I29</f>
        <v>0</v>
      </c>
    </row>
    <row r="37" spans="2:14" x14ac:dyDescent="0.25">
      <c r="B37" s="122"/>
      <c r="C37" s="128"/>
      <c r="D37" s="127"/>
      <c r="E37" s="224"/>
      <c r="F37" s="224"/>
      <c r="G37" s="224"/>
      <c r="H37" s="224"/>
      <c r="I37" s="224"/>
    </row>
    <row r="38" spans="2:14" x14ac:dyDescent="0.25">
      <c r="B38" s="250" t="s">
        <v>205</v>
      </c>
      <c r="C38" s="117" t="s">
        <v>206</v>
      </c>
      <c r="D38" s="126">
        <f>((D39*D42)+(D40*D43)+(D41*D44))/'Model assumptions'!$D$51</f>
        <v>0.1208</v>
      </c>
      <c r="E38" s="126">
        <f>((E39*E42)+(E40*E43)+(E41*E44))/'Model assumptions'!$D$51</f>
        <v>0.223024</v>
      </c>
      <c r="F38" s="126">
        <f>((F39*F42)+(F40*F43)+(F41*F44))/'Model assumptions'!$D$51</f>
        <v>0.38741727999999998</v>
      </c>
      <c r="G38" s="126">
        <f>((G39*G42)+(G40*G43)+(G41*G44))/'Model assumptions'!$D$51</f>
        <v>0.76796711680000018</v>
      </c>
      <c r="H38" s="126">
        <f>((H39*H42)+(H40*H43)+(H41*H44))/'Model assumptions'!$D$51</f>
        <v>1.0968399828480002</v>
      </c>
      <c r="I38" s="126">
        <f>((I39*I42)+(I40*I43)+(I41*I44))/'Model assumptions'!$D$51</f>
        <v>1.6840230668518401</v>
      </c>
    </row>
    <row r="39" spans="2:14" x14ac:dyDescent="0.25">
      <c r="B39" s="250"/>
      <c r="C39" s="119" t="s">
        <v>207</v>
      </c>
      <c r="D39" s="52">
        <f>ROUNDUP(D9/'Model assumptions'!D31,0)</f>
        <v>1</v>
      </c>
      <c r="E39" s="52">
        <f>ROUNDUP(E9/'Model assumptions'!E31,0)</f>
        <v>3</v>
      </c>
      <c r="F39" s="52">
        <f>ROUNDUP(F9/'Model assumptions'!F31,0)</f>
        <v>6</v>
      </c>
      <c r="G39" s="52">
        <f>ROUNDUP(G9/'Model assumptions'!G31,0)</f>
        <v>11</v>
      </c>
      <c r="H39" s="52">
        <f>ROUNDUP(H9/'Model assumptions'!H31,0)</f>
        <v>16</v>
      </c>
      <c r="I39" s="52">
        <f>ROUNDUP(I9/'Model assumptions'!I31,0)</f>
        <v>23</v>
      </c>
    </row>
    <row r="40" spans="2:14" x14ac:dyDescent="0.25">
      <c r="B40" s="250"/>
      <c r="C40" s="119" t="s">
        <v>208</v>
      </c>
      <c r="D40" s="130">
        <f>ROUNDUP(D39/'Model assumptions'!D32,0)</f>
        <v>1</v>
      </c>
      <c r="E40" s="130">
        <f>ROUNDUP(E39/'Model assumptions'!E32,0)</f>
        <v>1</v>
      </c>
      <c r="F40" s="130">
        <f>ROUNDUP(F39/'Model assumptions'!F32,0)</f>
        <v>1</v>
      </c>
      <c r="G40" s="130">
        <f>ROUNDUP(G39/'Model assumptions'!G32,0)</f>
        <v>2</v>
      </c>
      <c r="H40" s="130">
        <f>ROUNDUP(H39/'Model assumptions'!H32,0)</f>
        <v>2</v>
      </c>
      <c r="I40" s="130">
        <f>ROUNDUP(I39/'Model assumptions'!I32,0)</f>
        <v>3</v>
      </c>
    </row>
    <row r="41" spans="2:14" x14ac:dyDescent="0.25">
      <c r="B41" s="250"/>
      <c r="C41" s="120" t="s">
        <v>209</v>
      </c>
      <c r="D41" s="130" t="str">
        <f>IF(E9&gt;='Model assumptions'!D33,"1","0")</f>
        <v>0</v>
      </c>
      <c r="E41" s="130" t="str">
        <f>IF(F9&gt;='Model assumptions'!E33,"1","0")</f>
        <v>1</v>
      </c>
      <c r="F41" s="130" t="str">
        <f>IF(G9&gt;='Model assumptions'!F33,"1","0")</f>
        <v>1</v>
      </c>
      <c r="G41" s="130" t="str">
        <f>IF(H9&gt;='Model assumptions'!G33,"1","0")</f>
        <v>1</v>
      </c>
      <c r="H41" s="130" t="str">
        <f>IF(I9&gt;='Model assumptions'!H33,"1","0")</f>
        <v>1</v>
      </c>
      <c r="I41" s="130" t="str">
        <f>IF(I9&gt;='Model assumptions'!I33,"1","0")</f>
        <v>1</v>
      </c>
      <c r="J41" s="63"/>
    </row>
    <row r="42" spans="2:14" x14ac:dyDescent="0.25">
      <c r="B42" s="250"/>
      <c r="C42" s="119" t="s">
        <v>210</v>
      </c>
      <c r="D42" s="52">
        <f>'Model assumptions'!D34+'Model assumptions'!D35</f>
        <v>448000</v>
      </c>
      <c r="E42" s="52">
        <f>'Model assumptions'!E34+'Model assumptions'!E35</f>
        <v>474880</v>
      </c>
      <c r="F42" s="52">
        <f>'Model assumptions'!F34+'Model assumptions'!F35</f>
        <v>503372.79999999999</v>
      </c>
      <c r="G42" s="52">
        <f>'Model assumptions'!G34+'Model assumptions'!G35</f>
        <v>533575.16800000006</v>
      </c>
      <c r="H42" s="52">
        <f>'Model assumptions'!H34+'Model assumptions'!H35</f>
        <v>565589.6780800001</v>
      </c>
      <c r="I42" s="52">
        <f>'Model assumptions'!I34+'Model assumptions'!I35</f>
        <v>599525.05876480008</v>
      </c>
    </row>
    <row r="43" spans="2:14" x14ac:dyDescent="0.25">
      <c r="B43" s="250"/>
      <c r="C43" s="119" t="s">
        <v>211</v>
      </c>
      <c r="D43" s="52">
        <f>'Model assumptions'!D36+'Model assumptions'!D37</f>
        <v>760000</v>
      </c>
      <c r="E43" s="52">
        <f>'Model assumptions'!E36+'Model assumptions'!E37</f>
        <v>805600</v>
      </c>
      <c r="F43" s="52">
        <f>'Model assumptions'!F36+'Model assumptions'!F37</f>
        <v>853936</v>
      </c>
      <c r="G43" s="52">
        <f>'Model assumptions'!G36+'Model assumptions'!G37</f>
        <v>905172.16</v>
      </c>
      <c r="H43" s="52">
        <f>'Model assumptions'!H36+'Model assumptions'!H37</f>
        <v>959482.48960000009</v>
      </c>
      <c r="I43" s="52">
        <f>'Model assumptions'!I36+'Model assumptions'!I37</f>
        <v>1017051.4389760001</v>
      </c>
    </row>
    <row r="44" spans="2:14" x14ac:dyDescent="0.25">
      <c r="B44" s="250"/>
      <c r="C44" s="119" t="s">
        <v>212</v>
      </c>
      <c r="D44" s="52">
        <f>'Model assumptions'!D38+'Model assumptions'!D39</f>
        <v>0</v>
      </c>
      <c r="E44" s="52">
        <f>'Model assumptions'!D38+'Model assumptions'!E39</f>
        <v>0</v>
      </c>
      <c r="F44" s="52">
        <f>'Model assumptions'!E38+'Model assumptions'!F39</f>
        <v>0</v>
      </c>
      <c r="G44" s="52">
        <f>'Model assumptions'!F38+'Model assumptions'!G39</f>
        <v>0</v>
      </c>
      <c r="H44" s="52">
        <f>'Model assumptions'!G38+'Model assumptions'!H39</f>
        <v>0</v>
      </c>
      <c r="I44" s="52">
        <f>'Model assumptions'!H38+'Model assumptions'!I39</f>
        <v>0</v>
      </c>
    </row>
    <row r="45" spans="2:14" s="63" customFormat="1" x14ac:dyDescent="0.25">
      <c r="B45" s="122"/>
      <c r="C45" s="128"/>
      <c r="D45" s="127"/>
      <c r="E45" s="135"/>
      <c r="F45" s="135"/>
      <c r="G45" s="135"/>
      <c r="H45" s="135"/>
      <c r="I45" s="135"/>
      <c r="J45" s="223"/>
      <c r="L45" s="131"/>
      <c r="M45" s="131"/>
      <c r="N45" s="131"/>
    </row>
    <row r="46" spans="2:14" x14ac:dyDescent="0.25">
      <c r="B46" s="125" t="s">
        <v>213</v>
      </c>
      <c r="C46" s="128" t="s">
        <v>214</v>
      </c>
      <c r="D46" s="126">
        <f t="shared" ref="D46:I46" si="3">SUM(D25,D30,D38)</f>
        <v>0.38295000000000001</v>
      </c>
      <c r="E46" s="126">
        <f t="shared" si="3"/>
        <v>0.74028400000000005</v>
      </c>
      <c r="F46" s="126">
        <f t="shared" si="3"/>
        <v>1.4167911200000001</v>
      </c>
      <c r="G46" s="126">
        <f t="shared" si="3"/>
        <v>2.5131610449249999</v>
      </c>
      <c r="H46" s="126">
        <f t="shared" si="3"/>
        <v>3.9892705708995466</v>
      </c>
      <c r="I46" s="126">
        <f t="shared" si="3"/>
        <v>6.2822187459265484</v>
      </c>
      <c r="L46" s="132"/>
      <c r="M46" s="132"/>
      <c r="N46" s="132"/>
    </row>
    <row r="47" spans="2:14" s="63" customFormat="1" x14ac:dyDescent="0.25">
      <c r="B47" s="122"/>
      <c r="C47" s="128"/>
      <c r="D47" s="127"/>
      <c r="E47" s="127"/>
      <c r="F47" s="127"/>
      <c r="G47" s="127"/>
      <c r="H47" s="127"/>
      <c r="I47" s="127"/>
      <c r="L47" s="131"/>
      <c r="M47" s="131"/>
      <c r="N47" s="131"/>
    </row>
    <row r="48" spans="2:14" x14ac:dyDescent="0.25">
      <c r="B48" s="125" t="s">
        <v>215</v>
      </c>
      <c r="C48" s="117" t="s">
        <v>216</v>
      </c>
      <c r="D48" s="126">
        <f t="shared" ref="D48:I48" si="4">D15-D46</f>
        <v>-0.24981750000000003</v>
      </c>
      <c r="E48" s="126">
        <f t="shared" si="4"/>
        <v>-0.27345400000000003</v>
      </c>
      <c r="F48" s="126">
        <f t="shared" si="4"/>
        <v>-0.11184238400000024</v>
      </c>
      <c r="G48" s="126">
        <f t="shared" si="4"/>
        <v>7.3197973955000162E-2</v>
      </c>
      <c r="H48" s="126">
        <f t="shared" si="4"/>
        <v>1.2116996220644536</v>
      </c>
      <c r="I48" s="126">
        <f t="shared" si="4"/>
        <v>3.1418847636214524</v>
      </c>
    </row>
    <row r="49" spans="2:10" s="63" customFormat="1" x14ac:dyDescent="0.25">
      <c r="B49" s="122"/>
      <c r="C49" s="128"/>
      <c r="D49" s="127"/>
      <c r="E49" s="127"/>
      <c r="F49" s="127"/>
      <c r="G49" s="127"/>
      <c r="H49" s="127"/>
      <c r="I49" s="127"/>
    </row>
    <row r="50" spans="2:10" x14ac:dyDescent="0.25">
      <c r="B50" s="125" t="s">
        <v>217</v>
      </c>
      <c r="C50" s="133" t="s">
        <v>218</v>
      </c>
      <c r="D50" s="126">
        <f>IF(SUM('Model assumptions'!D41:D46)&lt;=0,'Model assumptions'!D47*D15,SUM('Model assumptions'!D41:D46)/'Model assumptions'!$D$51)</f>
        <v>1.9969874999999998E-2</v>
      </c>
      <c r="E50" s="126">
        <f>IF(SUM('Model assumptions'!E41:E46)&lt;=0,'Model assumptions'!E47*E15,SUM('Model assumptions'!E41:E46)/'Model assumptions'!$D$51)</f>
        <v>7.0024500000000003E-2</v>
      </c>
      <c r="F50" s="126">
        <f>IF(SUM('Model assumptions'!F41:F46)&lt;=0,'Model assumptions'!F47*F15,SUM('Model assumptions'!F41:F46)/'Model assumptions'!$D$51)</f>
        <v>0.19574231039999998</v>
      </c>
      <c r="G50" s="126">
        <f>IF(SUM('Model assumptions'!G41:G46)&lt;=0,'Model assumptions'!G47*G15,SUM('Model assumptions'!G41:G46)/'Model assumptions'!$D$51)</f>
        <v>0.38795385283200001</v>
      </c>
      <c r="H50" s="126">
        <f>IF(SUM('Model assumptions'!H41:H46)&lt;=0,'Model assumptions'!H47*H15,SUM('Model assumptions'!H41:H46)/'Model assumptions'!$D$51)</f>
        <v>0.78014552894459999</v>
      </c>
      <c r="I50" s="126">
        <f>IF(SUM('Model assumptions'!I41:I46)&lt;=0,'Model assumptions'!I47*I15,SUM('Model assumptions'!I41:I46)/'Model assumptions'!$D$51)</f>
        <v>1.4136155264322001</v>
      </c>
    </row>
    <row r="51" spans="2:10" s="63" customFormat="1" x14ac:dyDescent="0.25">
      <c r="B51" s="122"/>
      <c r="C51" s="134"/>
      <c r="D51" s="135"/>
      <c r="E51" s="135"/>
      <c r="F51" s="135"/>
      <c r="G51" s="135"/>
      <c r="H51" s="135"/>
      <c r="I51" s="135"/>
    </row>
    <row r="52" spans="2:10" x14ac:dyDescent="0.25">
      <c r="B52" s="136" t="s">
        <v>219</v>
      </c>
      <c r="C52" s="128" t="s">
        <v>220</v>
      </c>
      <c r="D52" s="126">
        <f t="shared" ref="D52:I52" si="5">D48-D50</f>
        <v>-0.26978737500000005</v>
      </c>
      <c r="E52" s="126">
        <f t="shared" si="5"/>
        <v>-0.34347850000000002</v>
      </c>
      <c r="F52" s="126">
        <f t="shared" si="5"/>
        <v>-0.30758469440000025</v>
      </c>
      <c r="G52" s="126">
        <f t="shared" si="5"/>
        <v>-0.31475587887699985</v>
      </c>
      <c r="H52" s="126">
        <f t="shared" si="5"/>
        <v>0.4315540931198536</v>
      </c>
      <c r="I52" s="126">
        <f t="shared" si="5"/>
        <v>1.7282692371892523</v>
      </c>
    </row>
    <row r="53" spans="2:10" s="63" customFormat="1" x14ac:dyDescent="0.25">
      <c r="B53" s="137"/>
      <c r="C53" s="128"/>
      <c r="D53" s="127"/>
      <c r="E53" s="127"/>
      <c r="F53" s="127"/>
      <c r="G53" s="127"/>
      <c r="H53" s="127"/>
      <c r="I53" s="127"/>
    </row>
    <row r="54" spans="2:10" x14ac:dyDescent="0.25">
      <c r="B54" s="125" t="s">
        <v>221</v>
      </c>
      <c r="C54" s="138" t="s">
        <v>222</v>
      </c>
      <c r="D54" s="139">
        <f>D52+D55</f>
        <v>-0.26978737500000005</v>
      </c>
      <c r="E54" s="139">
        <f>SUM(D54,E52)</f>
        <v>-0.61326587500000007</v>
      </c>
      <c r="F54" s="139">
        <f t="shared" ref="F54:I54" si="6">SUM(E54,F52)</f>
        <v>-0.92085056940000032</v>
      </c>
      <c r="G54" s="139">
        <f t="shared" si="6"/>
        <v>-1.2356064482770002</v>
      </c>
      <c r="H54" s="139">
        <f t="shared" si="6"/>
        <v>-0.80405235515714657</v>
      </c>
      <c r="I54" s="139">
        <f t="shared" si="6"/>
        <v>0.92421688203210572</v>
      </c>
    </row>
    <row r="55" spans="2:10" x14ac:dyDescent="0.25">
      <c r="B55" s="125" t="s">
        <v>223</v>
      </c>
      <c r="C55" s="138" t="s">
        <v>223</v>
      </c>
      <c r="D55" s="140">
        <f>'Model assumptions'!D50/'Model assumptions'!$D$51</f>
        <v>0</v>
      </c>
      <c r="E55" s="140">
        <f>'Model assumptions'!E50/'Model assumptions'!$D$51</f>
        <v>0</v>
      </c>
      <c r="F55" s="140">
        <f>'Model assumptions'!F50/'Model assumptions'!$D$51</f>
        <v>0</v>
      </c>
      <c r="G55" s="140">
        <f>'Model assumptions'!G50/'Model assumptions'!$D$51</f>
        <v>0</v>
      </c>
      <c r="H55" s="140">
        <f>'Model assumptions'!H50/'Model assumptions'!$D$51</f>
        <v>0</v>
      </c>
      <c r="I55" s="140">
        <f>'Model assumptions'!I50/'Model assumptions'!$D$51</f>
        <v>0</v>
      </c>
      <c r="J55" s="141"/>
    </row>
    <row r="56" spans="2:10" x14ac:dyDescent="0.25">
      <c r="B56" s="125" t="s">
        <v>224</v>
      </c>
      <c r="C56" s="138" t="s">
        <v>224</v>
      </c>
      <c r="D56" s="142">
        <f>IFERROR(D48/D15,"-")</f>
        <v>-1.8764576643569379</v>
      </c>
      <c r="E56" s="143">
        <f>E48/E15</f>
        <v>-0.58576783839941737</v>
      </c>
      <c r="F56" s="143">
        <f t="shared" ref="F56:I56" si="7">F48/F15</f>
        <v>-8.5706343026796306E-2</v>
      </c>
      <c r="G56" s="143">
        <f t="shared" si="7"/>
        <v>2.8301551880719908E-2</v>
      </c>
      <c r="H56" s="143">
        <f t="shared" si="7"/>
        <v>0.23297569051706363</v>
      </c>
      <c r="I56" s="143">
        <f t="shared" si="7"/>
        <v>0.33338818492796285</v>
      </c>
    </row>
    <row r="57" spans="2:10" x14ac:dyDescent="0.25">
      <c r="B57" s="125" t="s">
        <v>225</v>
      </c>
      <c r="C57" s="138" t="s">
        <v>225</v>
      </c>
      <c r="D57" s="142">
        <f>IFERROR(D52/D15,"-")</f>
        <v>-2.0264576643569381</v>
      </c>
      <c r="E57" s="143">
        <f t="shared" ref="E57:I57" si="8">E52/E15</f>
        <v>-0.7357678383994174</v>
      </c>
      <c r="F57" s="143">
        <f t="shared" si="8"/>
        <v>-0.23570634302679633</v>
      </c>
      <c r="G57" s="143">
        <f t="shared" si="8"/>
        <v>-0.12169844811928009</v>
      </c>
      <c r="H57" s="143">
        <f t="shared" si="8"/>
        <v>8.2975690517063633E-2</v>
      </c>
      <c r="I57" s="143">
        <f t="shared" si="8"/>
        <v>0.18338818492796283</v>
      </c>
    </row>
    <row r="58" spans="2:10" x14ac:dyDescent="0.25">
      <c r="B58" s="144"/>
      <c r="C58" s="145"/>
      <c r="D58" s="105"/>
      <c r="E58" s="105"/>
      <c r="F58" s="105"/>
      <c r="G58" s="105"/>
      <c r="H58" s="105"/>
    </row>
    <row r="59" spans="2:10" x14ac:dyDescent="0.25">
      <c r="D59" s="105"/>
      <c r="G59" s="146"/>
      <c r="H59" s="105"/>
    </row>
    <row r="60" spans="2:10" x14ac:dyDescent="0.25">
      <c r="B60" s="144"/>
      <c r="C60" s="105"/>
      <c r="D60" s="105"/>
      <c r="G60" s="145"/>
      <c r="H60" s="105"/>
    </row>
    <row r="61" spans="2:10" x14ac:dyDescent="0.25">
      <c r="B61" s="144"/>
      <c r="C61" s="105"/>
      <c r="D61" s="105"/>
      <c r="G61" s="105"/>
      <c r="H61" s="105"/>
    </row>
  </sheetData>
  <mergeCells count="7">
    <mergeCell ref="B38:B44"/>
    <mergeCell ref="B2:B4"/>
    <mergeCell ref="E7:I7"/>
    <mergeCell ref="B9:B11"/>
    <mergeCell ref="B15:B23"/>
    <mergeCell ref="B25:B28"/>
    <mergeCell ref="B30:B3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J168"/>
  <sheetViews>
    <sheetView showGridLines="0" zoomScaleNormal="100" workbookViewId="0">
      <selection activeCell="E15" sqref="E15"/>
    </sheetView>
  </sheetViews>
  <sheetFormatPr defaultRowHeight="15" x14ac:dyDescent="0.25"/>
  <cols>
    <col min="2" max="2" width="32" bestFit="1" customWidth="1"/>
    <col min="3" max="3" width="31.85546875" customWidth="1"/>
    <col min="4" max="4" width="19.140625" customWidth="1"/>
    <col min="5" max="5" width="17.7109375" customWidth="1"/>
    <col min="6" max="6" width="12.7109375" hidden="1" customWidth="1"/>
    <col min="7" max="7" width="12.7109375" customWidth="1"/>
    <col min="8" max="8" width="12.7109375" hidden="1" customWidth="1"/>
    <col min="9" max="9" width="12.7109375" customWidth="1"/>
  </cols>
  <sheetData>
    <row r="1" spans="1:9" ht="15.75" x14ac:dyDescent="0.25">
      <c r="A1" s="41"/>
      <c r="B1" s="41"/>
      <c r="C1" s="41"/>
      <c r="D1" s="147"/>
      <c r="E1" s="41"/>
      <c r="F1" s="41"/>
      <c r="G1" s="41"/>
      <c r="H1" s="41"/>
      <c r="I1" s="41"/>
    </row>
    <row r="2" spans="1:9" ht="15.75" x14ac:dyDescent="0.25">
      <c r="A2" s="41"/>
      <c r="B2" s="148"/>
      <c r="C2" s="148"/>
      <c r="D2" s="46" t="s">
        <v>226</v>
      </c>
      <c r="E2" s="254" t="s">
        <v>49</v>
      </c>
      <c r="F2" s="255"/>
      <c r="G2" s="255"/>
      <c r="H2" s="255"/>
      <c r="I2" s="256"/>
    </row>
    <row r="3" spans="1:9" ht="15.75" x14ac:dyDescent="0.25">
      <c r="A3" s="41"/>
      <c r="B3" s="149"/>
      <c r="C3" s="149"/>
      <c r="D3" s="150"/>
      <c r="E3" s="46" t="s">
        <v>51</v>
      </c>
      <c r="F3" s="46" t="s">
        <v>52</v>
      </c>
      <c r="G3" s="46" t="s">
        <v>53</v>
      </c>
      <c r="H3" s="46" t="s">
        <v>54</v>
      </c>
      <c r="I3" s="46" t="s">
        <v>55</v>
      </c>
    </row>
    <row r="4" spans="1:9" ht="15.75" x14ac:dyDescent="0.25">
      <c r="A4" s="41"/>
      <c r="B4" s="151" t="s">
        <v>179</v>
      </c>
      <c r="C4" s="60" t="s">
        <v>227</v>
      </c>
      <c r="D4" s="130">
        <f>'Business model'!D9</f>
        <v>10</v>
      </c>
      <c r="E4" s="130">
        <f>'Business model'!E9</f>
        <v>32</v>
      </c>
      <c r="F4" s="130">
        <f>'Business model'!F9</f>
        <v>64</v>
      </c>
      <c r="G4" s="130">
        <f>'Business model'!G9</f>
        <v>122</v>
      </c>
      <c r="H4" s="130">
        <f>'Business model'!H9</f>
        <v>187</v>
      </c>
      <c r="I4" s="130">
        <f>'Business model'!I9</f>
        <v>270</v>
      </c>
    </row>
    <row r="5" spans="1:9" ht="15.75" x14ac:dyDescent="0.25">
      <c r="A5" s="41"/>
      <c r="B5" s="151" t="s">
        <v>228</v>
      </c>
      <c r="C5" s="60" t="s">
        <v>229</v>
      </c>
      <c r="D5" s="130">
        <f>IF(D4=0,"-",'Model assumptions'!D4*'Model assumptions'!D5)</f>
        <v>90</v>
      </c>
      <c r="E5" s="52">
        <f>'Model assumptions'!E4*'Model assumptions'!E5</f>
        <v>90</v>
      </c>
      <c r="F5" s="52">
        <f>'Model assumptions'!F4*'Model assumptions'!F5</f>
        <v>120</v>
      </c>
      <c r="G5" s="52">
        <f>'Model assumptions'!G4*'Model assumptions'!G5</f>
        <v>120</v>
      </c>
      <c r="H5" s="52">
        <f>'Model assumptions'!H4*'Model assumptions'!H5</f>
        <v>150</v>
      </c>
      <c r="I5" s="52">
        <f>'Model assumptions'!I4*'Model assumptions'!I5</f>
        <v>180</v>
      </c>
    </row>
    <row r="6" spans="1:9" ht="15.75" x14ac:dyDescent="0.25">
      <c r="A6" s="41"/>
      <c r="B6" s="151" t="s">
        <v>230</v>
      </c>
      <c r="C6" s="60" t="s">
        <v>230</v>
      </c>
      <c r="D6" s="130">
        <f>D4*D5</f>
        <v>900</v>
      </c>
      <c r="E6" s="130">
        <f t="shared" ref="E6:I6" si="0">E4*E5</f>
        <v>2880</v>
      </c>
      <c r="F6" s="130">
        <f t="shared" si="0"/>
        <v>7680</v>
      </c>
      <c r="G6" s="130">
        <f t="shared" si="0"/>
        <v>14640</v>
      </c>
      <c r="H6" s="130">
        <f t="shared" si="0"/>
        <v>28050</v>
      </c>
      <c r="I6" s="130">
        <f t="shared" si="0"/>
        <v>48600</v>
      </c>
    </row>
    <row r="7" spans="1:9" ht="15.75" x14ac:dyDescent="0.25">
      <c r="A7" s="41"/>
      <c r="B7" s="152"/>
      <c r="C7" s="60"/>
      <c r="D7" s="153"/>
      <c r="E7" s="154"/>
      <c r="F7" s="154"/>
      <c r="G7" s="154"/>
      <c r="H7" s="154"/>
      <c r="I7" s="154"/>
    </row>
    <row r="8" spans="1:9" ht="15.75" x14ac:dyDescent="0.25">
      <c r="A8" s="41"/>
      <c r="B8" s="151" t="s">
        <v>231</v>
      </c>
      <c r="C8" s="155" t="s">
        <v>232</v>
      </c>
      <c r="D8" s="104">
        <f>IFERROR('Business model'!D15/'School economics '!D4,"-")*'Model assumptions'!$D$51</f>
        <v>133132.5</v>
      </c>
      <c r="E8" s="104">
        <f>IFERROR('Business model'!E15/'School economics '!E4,"-")*'Model assumptions'!$D$51</f>
        <v>145884.375</v>
      </c>
      <c r="F8" s="104">
        <f>IFERROR('Business model'!F15/'School economics '!F4,"-")*'Model assumptions'!$D$51</f>
        <v>203898.23999999996</v>
      </c>
      <c r="G8" s="104">
        <f>IFERROR('Business model'!G15/'School economics '!G4,"-")*'Model assumptions'!$D$51</f>
        <v>211996.64089180331</v>
      </c>
      <c r="H8" s="104">
        <f>IFERROR('Business model'!H15/'School economics '!H4,"-")*'Model assumptions'!$D$51</f>
        <v>278126.74828684493</v>
      </c>
      <c r="I8" s="104">
        <f>IFERROR('Business model'!I15/'School economics '!I4,"-")*'Model assumptions'!$D$51</f>
        <v>349040.87072400004</v>
      </c>
    </row>
    <row r="9" spans="1:9" ht="15.75" x14ac:dyDescent="0.25">
      <c r="A9" s="41"/>
      <c r="B9" s="152"/>
      <c r="C9" s="154"/>
      <c r="D9" s="153"/>
      <c r="E9" s="154"/>
      <c r="F9" s="154"/>
      <c r="G9" s="154"/>
      <c r="H9" s="154"/>
      <c r="I9" s="154"/>
    </row>
    <row r="10" spans="1:9" ht="15.75" x14ac:dyDescent="0.25">
      <c r="A10" s="41"/>
      <c r="B10" s="257" t="s">
        <v>233</v>
      </c>
      <c r="C10" s="155" t="s">
        <v>234</v>
      </c>
      <c r="D10" s="104">
        <f>IFERROR('Business model'!D46/'School economics '!D4,"-")*'Model assumptions'!$D$51</f>
        <v>382950</v>
      </c>
      <c r="E10" s="104">
        <f>IFERROR('Business model'!E46/'School economics '!E4,"-")*'Model assumptions'!$D$51</f>
        <v>231338.75000000003</v>
      </c>
      <c r="F10" s="104">
        <f>IFERROR('Business model'!F46/'School economics '!F4,"-")*'Model assumptions'!$D$51</f>
        <v>221373.61250000002</v>
      </c>
      <c r="G10" s="104">
        <f>IFERROR('Business model'!G46/'School economics '!G4,"-")*'Model assumptions'!$D$51</f>
        <v>205996.80696106557</v>
      </c>
      <c r="H10" s="104">
        <f>IFERROR('Business model'!H46/'School economics '!H4,"-")*'Model assumptions'!$D$51</f>
        <v>213329.9770534517</v>
      </c>
      <c r="I10" s="104">
        <f>IFERROR('Business model'!I46/'School economics '!I4,"-")*'Model assumptions'!$D$51</f>
        <v>232674.76836764993</v>
      </c>
    </row>
    <row r="11" spans="1:9" ht="15.75" x14ac:dyDescent="0.25">
      <c r="A11" s="41"/>
      <c r="B11" s="258"/>
      <c r="C11" s="89" t="s">
        <v>235</v>
      </c>
      <c r="D11" s="130">
        <f>IFERROR('Business model'!D25/'School economics '!D4,"-")*'Model assumptions'!$D$51</f>
        <v>51750</v>
      </c>
      <c r="E11" s="130">
        <f>IFERROR('Business model'!E25/'School economics '!E4,"-")*'Model assumptions'!$D$51</f>
        <v>62268.75</v>
      </c>
      <c r="F11" s="130">
        <f>IFERROR('Business model'!F25/'School economics '!F4,"-")*'Model assumptions'!$D$51</f>
        <v>84575.3125</v>
      </c>
      <c r="G11" s="130">
        <f>IFERROR('Business model'!G25/'School economics '!G4,"-")*'Model assumptions'!$D$51</f>
        <v>84474.125256147541</v>
      </c>
      <c r="H11" s="130">
        <f>IFERROR('Business model'!H25/'School economics '!H4,"-")*'Model assumptions'!$D$51</f>
        <v>108119.06291099179</v>
      </c>
      <c r="I11" s="130">
        <f>IFERROR('Business model'!I25/'School economics '!I4,"-")*'Model assumptions'!$D$51</f>
        <v>131683.34477810326</v>
      </c>
    </row>
    <row r="12" spans="1:9" ht="15.75" x14ac:dyDescent="0.25">
      <c r="A12" s="41"/>
      <c r="B12" s="258"/>
      <c r="C12" s="89" t="s">
        <v>236</v>
      </c>
      <c r="D12" s="130">
        <f>IFERROR('Business model'!D30/'School economics '!D4,"-")*'Model assumptions'!$D$51</f>
        <v>210400</v>
      </c>
      <c r="E12" s="130">
        <f>IFERROR('Business model'!E30/'School economics '!E4,"-")*'Model assumptions'!$D$51</f>
        <v>99375</v>
      </c>
      <c r="F12" s="130">
        <f>IFERROR('Business model'!F30/'School economics '!F4,"-")*'Model assumptions'!$D$51</f>
        <v>76264.350000000006</v>
      </c>
      <c r="G12" s="130">
        <f>IFERROR('Business model'!G30/'School economics '!G4,"-")*'Model assumptions'!$D$51</f>
        <v>58574.55737704919</v>
      </c>
      <c r="H12" s="130">
        <f>IFERROR('Business model'!H30/'School economics '!H4,"-")*'Model assumptions'!$D$51</f>
        <v>46556.369605133696</v>
      </c>
      <c r="I12" s="130">
        <f>IFERROR('Business model'!I30/'School economics '!I4,"-")*'Model assumptions'!$D$51</f>
        <v>38620.198891330372</v>
      </c>
    </row>
    <row r="13" spans="1:9" ht="15.75" x14ac:dyDescent="0.25">
      <c r="A13" s="41"/>
      <c r="B13" s="259"/>
      <c r="C13" s="89" t="s">
        <v>237</v>
      </c>
      <c r="D13" s="130">
        <f>IFERROR('Business model'!D38/'School economics '!D4,"-")*'Model assumptions'!$D$51</f>
        <v>120800</v>
      </c>
      <c r="E13" s="130">
        <f>IFERROR('Business model'!E38/'School economics '!E4,"-")*'Model assumptions'!$D$51</f>
        <v>69695</v>
      </c>
      <c r="F13" s="130">
        <f>IFERROR('Business model'!F38/'School economics '!F4,"-")*'Model assumptions'!$D$51</f>
        <v>60533.95</v>
      </c>
      <c r="G13" s="130">
        <f>IFERROR('Business model'!G38/'School economics '!G4,"-")*'Model assumptions'!$D$51</f>
        <v>62948.124327868863</v>
      </c>
      <c r="H13" s="130">
        <f>IFERROR('Business model'!H38/'School economics '!H4,"-")*'Model assumptions'!$D$51</f>
        <v>58654.544537326219</v>
      </c>
      <c r="I13" s="130">
        <f>IFERROR('Business model'!I38/'School economics '!I4,"-")*'Model assumptions'!$D$51</f>
        <v>62371.224698216298</v>
      </c>
    </row>
    <row r="14" spans="1:9" ht="15.75" x14ac:dyDescent="0.25">
      <c r="A14" s="41"/>
      <c r="B14" s="152"/>
      <c r="C14" s="154"/>
      <c r="D14" s="153"/>
      <c r="E14" s="154">
        <f>E13/E8</f>
        <v>0.47774136195188827</v>
      </c>
      <c r="F14" s="154"/>
      <c r="G14" s="154"/>
      <c r="H14" s="154"/>
      <c r="I14" s="154">
        <f>I13/I8</f>
        <v>0.17869318446531041</v>
      </c>
    </row>
    <row r="15" spans="1:9" ht="15.75" x14ac:dyDescent="0.25">
      <c r="A15" s="41"/>
      <c r="B15" s="151" t="s">
        <v>238</v>
      </c>
      <c r="C15" s="89" t="s">
        <v>239</v>
      </c>
      <c r="D15" s="130">
        <f>IFERROR('Business model'!D48/'School economics '!D4,"-")*'Model assumptions'!$D$51</f>
        <v>-249817.50000000003</v>
      </c>
      <c r="E15" s="130">
        <f>IFERROR('Business model'!E48/'School economics '!E4,"-")*'Model assumptions'!$D$51</f>
        <v>-85454.375000000015</v>
      </c>
      <c r="F15" s="130">
        <f>IFERROR('Business model'!F48/'School economics '!F4,"-")*'Model assumptions'!$D$51</f>
        <v>-17475.372500000038</v>
      </c>
      <c r="G15" s="130">
        <f>IFERROR('Business model'!G48/'School economics '!G4,"-")*'Model assumptions'!$D$51</f>
        <v>5999.8339307377182</v>
      </c>
      <c r="H15" s="130">
        <f>IFERROR('Business model'!H48/'School economics '!H4,"-")*'Model assumptions'!$D$51</f>
        <v>64796.771233393236</v>
      </c>
      <c r="I15" s="130">
        <f>IFERROR('Business model'!I48/'School economics '!I4,"-")*'Model assumptions'!$D$51</f>
        <v>116366.10235635008</v>
      </c>
    </row>
    <row r="16" spans="1:9" s="161" customFormat="1" ht="15.75" x14ac:dyDescent="0.25">
      <c r="A16" s="156"/>
      <c r="B16" s="157"/>
      <c r="C16" s="158"/>
      <c r="D16" s="159"/>
      <c r="E16" s="160"/>
      <c r="F16" s="160"/>
      <c r="G16" s="160"/>
      <c r="H16" s="160"/>
      <c r="I16" s="160"/>
    </row>
    <row r="17" spans="1:10" s="162" customFormat="1" ht="15.75" x14ac:dyDescent="0.25">
      <c r="A17" s="63"/>
      <c r="B17" s="151" t="s">
        <v>240</v>
      </c>
      <c r="C17" s="60" t="s">
        <v>241</v>
      </c>
      <c r="D17" s="130">
        <f>IFERROR('Business model'!D50/'School economics '!D4,"-")</f>
        <v>1.9969874999999997E-3</v>
      </c>
      <c r="E17" s="52">
        <f>'Business model'!E50/'School economics '!E4</f>
        <v>2.1882656250000001E-3</v>
      </c>
      <c r="F17" s="52">
        <f>'Business model'!F50/'School economics '!F4</f>
        <v>3.0584735999999997E-3</v>
      </c>
      <c r="G17" s="52">
        <f>'Business model'!G50/'School economics '!G4</f>
        <v>3.1799496133770493E-3</v>
      </c>
      <c r="H17" s="52">
        <f>'Business model'!H50/'School economics '!H4</f>
        <v>4.1719012243026741E-3</v>
      </c>
      <c r="I17" s="52">
        <f>'Business model'!I50/'School economics '!I4</f>
        <v>5.2356130608600003E-3</v>
      </c>
    </row>
    <row r="18" spans="1:10" s="162" customFormat="1" ht="15.75" x14ac:dyDescent="0.25">
      <c r="A18" s="63"/>
      <c r="B18" s="152"/>
      <c r="C18" s="60"/>
      <c r="D18" s="163"/>
      <c r="E18" s="123"/>
      <c r="F18" s="123"/>
      <c r="G18" s="123"/>
      <c r="H18" s="123"/>
      <c r="I18" s="123"/>
    </row>
    <row r="19" spans="1:10" s="162" customFormat="1" ht="15.75" x14ac:dyDescent="0.25">
      <c r="A19" s="63"/>
      <c r="B19" s="151" t="s">
        <v>242</v>
      </c>
      <c r="C19" s="164" t="s">
        <v>243</v>
      </c>
      <c r="D19" s="104">
        <f>IFERROR('Business model'!D52/'School economics '!D4,"-")*'Model assumptions'!$D$51</f>
        <v>-269787.37500000006</v>
      </c>
      <c r="E19" s="104">
        <f>IFERROR('Business model'!E52/'School economics '!E4,"-")*'Model assumptions'!$D$51</f>
        <v>-107337.03125</v>
      </c>
      <c r="F19" s="104">
        <f>IFERROR('Business model'!F52/'School economics '!F4,"-")*'Model assumptions'!$D$51</f>
        <v>-48060.108500000038</v>
      </c>
      <c r="G19" s="104">
        <f>IFERROR('Business model'!G52/'School economics '!G4,"-")*'Model assumptions'!$D$51</f>
        <v>-25799.662203032774</v>
      </c>
      <c r="H19" s="104">
        <f>IFERROR('Business model'!H52/'School economics '!H4,"-")*'Model assumptions'!$D$51</f>
        <v>23077.758990366503</v>
      </c>
      <c r="I19" s="104">
        <f>IFERROR('Business model'!I52/'School economics '!I4,"-")*'Model assumptions'!$D$51</f>
        <v>64009.971747750082</v>
      </c>
    </row>
    <row r="20" spans="1:10" s="162" customFormat="1" ht="15.75" x14ac:dyDescent="0.25">
      <c r="A20" s="63"/>
      <c r="B20" s="152"/>
      <c r="C20" s="164"/>
      <c r="D20" s="165"/>
      <c r="E20" s="127"/>
      <c r="F20" s="127"/>
      <c r="G20" s="127"/>
      <c r="H20" s="127"/>
      <c r="I20" s="127"/>
    </row>
    <row r="21" spans="1:10" s="162" customFormat="1" ht="15.75" x14ac:dyDescent="0.25">
      <c r="A21" s="63"/>
      <c r="B21" s="151" t="s">
        <v>244</v>
      </c>
      <c r="C21" s="89" t="s">
        <v>245</v>
      </c>
      <c r="D21" s="166">
        <f>IFERROR(D15/D8,"-")</f>
        <v>-1.8764576643569379</v>
      </c>
      <c r="E21" s="167">
        <f>E15/E8</f>
        <v>-0.58576783839941748</v>
      </c>
      <c r="F21" s="167">
        <f>F15/F8</f>
        <v>-8.5706343026796319E-2</v>
      </c>
      <c r="G21" s="167">
        <f>G15/G8</f>
        <v>2.8301551880719904E-2</v>
      </c>
      <c r="H21" s="167">
        <f>H15/H8</f>
        <v>0.2329756905170636</v>
      </c>
      <c r="I21" s="167">
        <f>I15/I8</f>
        <v>0.33338818492796279</v>
      </c>
    </row>
    <row r="22" spans="1:10" ht="15.75" x14ac:dyDescent="0.25">
      <c r="A22" s="41"/>
      <c r="B22" s="125" t="s">
        <v>246</v>
      </c>
      <c r="C22" s="138" t="s">
        <v>247</v>
      </c>
      <c r="D22" s="166">
        <f>IFERROR(D19/D8,"-")</f>
        <v>-2.0264576643569381</v>
      </c>
      <c r="E22" s="168">
        <f t="shared" ref="E22:I22" si="1">E19/E8</f>
        <v>-0.7357678383994174</v>
      </c>
      <c r="F22" s="168">
        <f t="shared" si="1"/>
        <v>-0.23570634302679636</v>
      </c>
      <c r="G22" s="168">
        <f t="shared" si="1"/>
        <v>-0.12169844811928007</v>
      </c>
      <c r="H22" s="168">
        <f t="shared" si="1"/>
        <v>8.2975690517063633E-2</v>
      </c>
      <c r="I22" s="168">
        <f t="shared" si="1"/>
        <v>0.18338818492796283</v>
      </c>
    </row>
    <row r="23" spans="1:10" ht="15.75" x14ac:dyDescent="0.25">
      <c r="A23" s="41"/>
      <c r="B23" s="41"/>
      <c r="C23" s="41"/>
      <c r="D23" s="147"/>
      <c r="E23" s="41"/>
      <c r="F23" s="41"/>
      <c r="G23" s="41"/>
      <c r="H23" s="41"/>
      <c r="I23" s="41"/>
    </row>
    <row r="24" spans="1:10" ht="15.75" x14ac:dyDescent="0.25">
      <c r="A24" s="41"/>
      <c r="B24" s="41"/>
      <c r="C24" s="41"/>
      <c r="D24" s="147"/>
      <c r="E24" s="41"/>
      <c r="F24" s="41"/>
      <c r="G24" s="41"/>
      <c r="H24" s="41"/>
      <c r="I24" s="41"/>
    </row>
    <row r="25" spans="1:10" ht="15.75" x14ac:dyDescent="0.25">
      <c r="A25" s="41"/>
      <c r="B25" s="41"/>
      <c r="C25" s="41"/>
      <c r="D25" s="169"/>
      <c r="E25" s="169"/>
      <c r="F25" s="169"/>
      <c r="G25" s="169"/>
      <c r="H25" s="169"/>
      <c r="I25" s="169"/>
      <c r="J25" s="169"/>
    </row>
    <row r="26" spans="1:10" x14ac:dyDescent="0.25">
      <c r="D26" s="170"/>
      <c r="E26" s="170"/>
      <c r="F26" s="170"/>
      <c r="G26" s="170"/>
      <c r="H26" s="170"/>
      <c r="I26" s="170"/>
    </row>
    <row r="27" spans="1:10" x14ac:dyDescent="0.25">
      <c r="D27" s="171"/>
    </row>
    <row r="28" spans="1:10" x14ac:dyDescent="0.25">
      <c r="D28" s="171"/>
    </row>
    <row r="29" spans="1:10" x14ac:dyDescent="0.25">
      <c r="D29" s="171"/>
    </row>
    <row r="30" spans="1:10" x14ac:dyDescent="0.25">
      <c r="D30" s="171"/>
    </row>
    <row r="31" spans="1:10" x14ac:dyDescent="0.25">
      <c r="D31" s="171"/>
    </row>
    <row r="32" spans="1:10" x14ac:dyDescent="0.25">
      <c r="D32" s="171"/>
    </row>
    <row r="33" spans="4:4" x14ac:dyDescent="0.25">
      <c r="D33" s="171"/>
    </row>
    <row r="34" spans="4:4" x14ac:dyDescent="0.25">
      <c r="D34" s="171"/>
    </row>
    <row r="35" spans="4:4" x14ac:dyDescent="0.25">
      <c r="D35" s="171"/>
    </row>
    <row r="36" spans="4:4" x14ac:dyDescent="0.25">
      <c r="D36" s="171"/>
    </row>
    <row r="37" spans="4:4" x14ac:dyDescent="0.25">
      <c r="D37" s="171"/>
    </row>
    <row r="38" spans="4:4" x14ac:dyDescent="0.25">
      <c r="D38" s="171"/>
    </row>
    <row r="39" spans="4:4" x14ac:dyDescent="0.25">
      <c r="D39" s="171"/>
    </row>
    <row r="40" spans="4:4" x14ac:dyDescent="0.25">
      <c r="D40" s="171"/>
    </row>
    <row r="41" spans="4:4" x14ac:dyDescent="0.25">
      <c r="D41" s="171"/>
    </row>
    <row r="42" spans="4:4" x14ac:dyDescent="0.25">
      <c r="D42" s="171"/>
    </row>
    <row r="43" spans="4:4" x14ac:dyDescent="0.25">
      <c r="D43" s="171"/>
    </row>
    <row r="44" spans="4:4" x14ac:dyDescent="0.25">
      <c r="D44" s="171"/>
    </row>
    <row r="45" spans="4:4" x14ac:dyDescent="0.25">
      <c r="D45" s="171"/>
    </row>
    <row r="46" spans="4:4" x14ac:dyDescent="0.25">
      <c r="D46" s="171"/>
    </row>
    <row r="47" spans="4:4" x14ac:dyDescent="0.25">
      <c r="D47" s="171"/>
    </row>
    <row r="48" spans="4:4" x14ac:dyDescent="0.25">
      <c r="D48" s="171"/>
    </row>
    <row r="49" spans="4:4" x14ac:dyDescent="0.25">
      <c r="D49" s="171"/>
    </row>
    <row r="50" spans="4:4" x14ac:dyDescent="0.25">
      <c r="D50" s="171"/>
    </row>
    <row r="51" spans="4:4" x14ac:dyDescent="0.25">
      <c r="D51" s="171"/>
    </row>
    <row r="52" spans="4:4" x14ac:dyDescent="0.25">
      <c r="D52" s="171"/>
    </row>
    <row r="53" spans="4:4" x14ac:dyDescent="0.25">
      <c r="D53" s="171"/>
    </row>
    <row r="54" spans="4:4" x14ac:dyDescent="0.25">
      <c r="D54" s="171"/>
    </row>
    <row r="55" spans="4:4" x14ac:dyDescent="0.25">
      <c r="D55" s="171"/>
    </row>
    <row r="56" spans="4:4" x14ac:dyDescent="0.25">
      <c r="D56" s="171"/>
    </row>
    <row r="57" spans="4:4" x14ac:dyDescent="0.25">
      <c r="D57" s="171"/>
    </row>
    <row r="58" spans="4:4" x14ac:dyDescent="0.25">
      <c r="D58" s="171"/>
    </row>
    <row r="59" spans="4:4" x14ac:dyDescent="0.25">
      <c r="D59" s="171"/>
    </row>
    <row r="60" spans="4:4" x14ac:dyDescent="0.25">
      <c r="D60" s="171"/>
    </row>
    <row r="61" spans="4:4" x14ac:dyDescent="0.25">
      <c r="D61" s="171"/>
    </row>
    <row r="62" spans="4:4" x14ac:dyDescent="0.25">
      <c r="D62" s="171"/>
    </row>
    <row r="63" spans="4:4" x14ac:dyDescent="0.25">
      <c r="D63" s="171"/>
    </row>
    <row r="64" spans="4:4" x14ac:dyDescent="0.25">
      <c r="D64" s="171"/>
    </row>
    <row r="65" spans="4:4" x14ac:dyDescent="0.25">
      <c r="D65" s="171"/>
    </row>
    <row r="66" spans="4:4" x14ac:dyDescent="0.25">
      <c r="D66" s="171"/>
    </row>
    <row r="67" spans="4:4" x14ac:dyDescent="0.25">
      <c r="D67" s="171"/>
    </row>
    <row r="68" spans="4:4" x14ac:dyDescent="0.25">
      <c r="D68" s="171"/>
    </row>
    <row r="69" spans="4:4" x14ac:dyDescent="0.25">
      <c r="D69" s="171"/>
    </row>
    <row r="70" spans="4:4" x14ac:dyDescent="0.25">
      <c r="D70" s="171"/>
    </row>
    <row r="71" spans="4:4" x14ac:dyDescent="0.25">
      <c r="D71" s="171"/>
    </row>
    <row r="72" spans="4:4" x14ac:dyDescent="0.25">
      <c r="D72" s="171"/>
    </row>
    <row r="73" spans="4:4" x14ac:dyDescent="0.25">
      <c r="D73" s="171"/>
    </row>
    <row r="74" spans="4:4" x14ac:dyDescent="0.25">
      <c r="D74" s="171"/>
    </row>
    <row r="75" spans="4:4" x14ac:dyDescent="0.25">
      <c r="D75" s="171"/>
    </row>
    <row r="76" spans="4:4" x14ac:dyDescent="0.25">
      <c r="D76" s="171"/>
    </row>
    <row r="77" spans="4:4" x14ac:dyDescent="0.25">
      <c r="D77" s="171"/>
    </row>
    <row r="78" spans="4:4" x14ac:dyDescent="0.25">
      <c r="D78" s="171"/>
    </row>
    <row r="79" spans="4:4" x14ac:dyDescent="0.25">
      <c r="D79" s="171"/>
    </row>
    <row r="80" spans="4:4" x14ac:dyDescent="0.25">
      <c r="D80" s="171"/>
    </row>
    <row r="81" spans="4:4" x14ac:dyDescent="0.25">
      <c r="D81" s="171"/>
    </row>
    <row r="82" spans="4:4" x14ac:dyDescent="0.25">
      <c r="D82" s="171"/>
    </row>
    <row r="83" spans="4:4" x14ac:dyDescent="0.25">
      <c r="D83" s="171"/>
    </row>
    <row r="84" spans="4:4" x14ac:dyDescent="0.25">
      <c r="D84" s="171"/>
    </row>
    <row r="85" spans="4:4" x14ac:dyDescent="0.25">
      <c r="D85" s="171"/>
    </row>
    <row r="86" spans="4:4" x14ac:dyDescent="0.25">
      <c r="D86" s="171"/>
    </row>
    <row r="87" spans="4:4" x14ac:dyDescent="0.25">
      <c r="D87" s="171"/>
    </row>
    <row r="88" spans="4:4" x14ac:dyDescent="0.25">
      <c r="D88" s="171"/>
    </row>
    <row r="89" spans="4:4" x14ac:dyDescent="0.25">
      <c r="D89" s="171"/>
    </row>
    <row r="90" spans="4:4" x14ac:dyDescent="0.25">
      <c r="D90" s="171"/>
    </row>
    <row r="91" spans="4:4" x14ac:dyDescent="0.25">
      <c r="D91" s="171"/>
    </row>
    <row r="92" spans="4:4" x14ac:dyDescent="0.25">
      <c r="D92" s="171"/>
    </row>
    <row r="93" spans="4:4" x14ac:dyDescent="0.25">
      <c r="D93" s="171"/>
    </row>
    <row r="94" spans="4:4" x14ac:dyDescent="0.25">
      <c r="D94" s="171"/>
    </row>
    <row r="95" spans="4:4" x14ac:dyDescent="0.25">
      <c r="D95" s="171"/>
    </row>
    <row r="96" spans="4:4" x14ac:dyDescent="0.25">
      <c r="D96" s="171"/>
    </row>
    <row r="97" spans="4:4" x14ac:dyDescent="0.25">
      <c r="D97" s="171"/>
    </row>
    <row r="98" spans="4:4" x14ac:dyDescent="0.25">
      <c r="D98" s="171"/>
    </row>
    <row r="99" spans="4:4" x14ac:dyDescent="0.25">
      <c r="D99" s="171"/>
    </row>
    <row r="100" spans="4:4" x14ac:dyDescent="0.25">
      <c r="D100" s="171"/>
    </row>
    <row r="101" spans="4:4" x14ac:dyDescent="0.25">
      <c r="D101" s="171"/>
    </row>
    <row r="102" spans="4:4" x14ac:dyDescent="0.25">
      <c r="D102" s="171"/>
    </row>
    <row r="103" spans="4:4" x14ac:dyDescent="0.25">
      <c r="D103" s="171"/>
    </row>
    <row r="104" spans="4:4" x14ac:dyDescent="0.25">
      <c r="D104" s="171"/>
    </row>
    <row r="105" spans="4:4" x14ac:dyDescent="0.25">
      <c r="D105" s="171"/>
    </row>
    <row r="106" spans="4:4" x14ac:dyDescent="0.25">
      <c r="D106" s="171"/>
    </row>
    <row r="107" spans="4:4" x14ac:dyDescent="0.25">
      <c r="D107" s="171"/>
    </row>
    <row r="108" spans="4:4" x14ac:dyDescent="0.25">
      <c r="D108" s="171"/>
    </row>
    <row r="109" spans="4:4" x14ac:dyDescent="0.25">
      <c r="D109" s="171"/>
    </row>
    <row r="110" spans="4:4" x14ac:dyDescent="0.25">
      <c r="D110" s="171"/>
    </row>
    <row r="111" spans="4:4" x14ac:dyDescent="0.25">
      <c r="D111" s="171"/>
    </row>
    <row r="112" spans="4:4" x14ac:dyDescent="0.25">
      <c r="D112" s="171"/>
    </row>
    <row r="113" spans="4:4" x14ac:dyDescent="0.25">
      <c r="D113" s="171"/>
    </row>
    <row r="114" spans="4:4" x14ac:dyDescent="0.25">
      <c r="D114" s="171"/>
    </row>
    <row r="115" spans="4:4" x14ac:dyDescent="0.25">
      <c r="D115" s="171"/>
    </row>
    <row r="116" spans="4:4" x14ac:dyDescent="0.25">
      <c r="D116" s="171"/>
    </row>
    <row r="117" spans="4:4" x14ac:dyDescent="0.25">
      <c r="D117" s="171"/>
    </row>
    <row r="118" spans="4:4" x14ac:dyDescent="0.25">
      <c r="D118" s="171"/>
    </row>
    <row r="119" spans="4:4" x14ac:dyDescent="0.25">
      <c r="D119" s="171"/>
    </row>
    <row r="120" spans="4:4" x14ac:dyDescent="0.25">
      <c r="D120" s="171"/>
    </row>
    <row r="121" spans="4:4" x14ac:dyDescent="0.25">
      <c r="D121" s="171"/>
    </row>
    <row r="122" spans="4:4" x14ac:dyDescent="0.25">
      <c r="D122" s="171"/>
    </row>
    <row r="123" spans="4:4" x14ac:dyDescent="0.25">
      <c r="D123" s="171"/>
    </row>
    <row r="124" spans="4:4" x14ac:dyDescent="0.25">
      <c r="D124" s="171"/>
    </row>
    <row r="125" spans="4:4" x14ac:dyDescent="0.25">
      <c r="D125" s="171"/>
    </row>
    <row r="126" spans="4:4" x14ac:dyDescent="0.25">
      <c r="D126" s="171"/>
    </row>
    <row r="127" spans="4:4" x14ac:dyDescent="0.25">
      <c r="D127" s="171"/>
    </row>
    <row r="128" spans="4:4" x14ac:dyDescent="0.25">
      <c r="D128" s="171"/>
    </row>
    <row r="129" spans="4:4" x14ac:dyDescent="0.25">
      <c r="D129" s="171"/>
    </row>
    <row r="130" spans="4:4" x14ac:dyDescent="0.25">
      <c r="D130" s="171"/>
    </row>
    <row r="131" spans="4:4" x14ac:dyDescent="0.25">
      <c r="D131" s="171"/>
    </row>
    <row r="132" spans="4:4" x14ac:dyDescent="0.25">
      <c r="D132" s="171"/>
    </row>
    <row r="133" spans="4:4" x14ac:dyDescent="0.25">
      <c r="D133" s="171"/>
    </row>
    <row r="134" spans="4:4" x14ac:dyDescent="0.25">
      <c r="D134" s="171"/>
    </row>
    <row r="135" spans="4:4" x14ac:dyDescent="0.25">
      <c r="D135" s="171"/>
    </row>
    <row r="136" spans="4:4" x14ac:dyDescent="0.25">
      <c r="D136" s="171"/>
    </row>
    <row r="137" spans="4:4" x14ac:dyDescent="0.25">
      <c r="D137" s="171"/>
    </row>
    <row r="138" spans="4:4" x14ac:dyDescent="0.25">
      <c r="D138" s="171"/>
    </row>
    <row r="139" spans="4:4" x14ac:dyDescent="0.25">
      <c r="D139" s="171"/>
    </row>
    <row r="140" spans="4:4" x14ac:dyDescent="0.25">
      <c r="D140" s="171"/>
    </row>
    <row r="141" spans="4:4" x14ac:dyDescent="0.25">
      <c r="D141" s="171"/>
    </row>
    <row r="142" spans="4:4" x14ac:dyDescent="0.25">
      <c r="D142" s="171"/>
    </row>
    <row r="143" spans="4:4" x14ac:dyDescent="0.25">
      <c r="D143" s="171"/>
    </row>
    <row r="144" spans="4:4" x14ac:dyDescent="0.25">
      <c r="D144" s="171"/>
    </row>
    <row r="145" spans="4:4" x14ac:dyDescent="0.25">
      <c r="D145" s="171"/>
    </row>
    <row r="146" spans="4:4" x14ac:dyDescent="0.25">
      <c r="D146" s="171"/>
    </row>
    <row r="147" spans="4:4" x14ac:dyDescent="0.25">
      <c r="D147" s="171"/>
    </row>
    <row r="148" spans="4:4" x14ac:dyDescent="0.25">
      <c r="D148" s="171"/>
    </row>
    <row r="149" spans="4:4" x14ac:dyDescent="0.25">
      <c r="D149" s="171"/>
    </row>
    <row r="150" spans="4:4" x14ac:dyDescent="0.25">
      <c r="D150" s="171"/>
    </row>
    <row r="151" spans="4:4" x14ac:dyDescent="0.25">
      <c r="D151" s="171"/>
    </row>
    <row r="152" spans="4:4" x14ac:dyDescent="0.25">
      <c r="D152" s="171"/>
    </row>
    <row r="153" spans="4:4" x14ac:dyDescent="0.25">
      <c r="D153" s="171"/>
    </row>
    <row r="154" spans="4:4" x14ac:dyDescent="0.25">
      <c r="D154" s="171"/>
    </row>
    <row r="155" spans="4:4" x14ac:dyDescent="0.25">
      <c r="D155" s="171"/>
    </row>
    <row r="156" spans="4:4" x14ac:dyDescent="0.25">
      <c r="D156" s="171"/>
    </row>
    <row r="157" spans="4:4" x14ac:dyDescent="0.25">
      <c r="D157" s="171"/>
    </row>
    <row r="158" spans="4:4" x14ac:dyDescent="0.25">
      <c r="D158" s="171"/>
    </row>
    <row r="159" spans="4:4" x14ac:dyDescent="0.25">
      <c r="D159" s="171"/>
    </row>
    <row r="160" spans="4:4" x14ac:dyDescent="0.25">
      <c r="D160" s="171"/>
    </row>
    <row r="161" spans="4:4" x14ac:dyDescent="0.25">
      <c r="D161" s="171"/>
    </row>
    <row r="162" spans="4:4" x14ac:dyDescent="0.25">
      <c r="D162" s="171"/>
    </row>
    <row r="163" spans="4:4" x14ac:dyDescent="0.25">
      <c r="D163" s="171"/>
    </row>
    <row r="164" spans="4:4" x14ac:dyDescent="0.25">
      <c r="D164" s="171"/>
    </row>
    <row r="165" spans="4:4" x14ac:dyDescent="0.25">
      <c r="D165" s="171"/>
    </row>
    <row r="166" spans="4:4" x14ac:dyDescent="0.25">
      <c r="D166" s="171"/>
    </row>
    <row r="167" spans="4:4" x14ac:dyDescent="0.25">
      <c r="D167" s="171"/>
    </row>
    <row r="168" spans="4:4" x14ac:dyDescent="0.25">
      <c r="D168" s="171"/>
    </row>
  </sheetData>
  <mergeCells count="2">
    <mergeCell ref="E2:I2"/>
    <mergeCell ref="B10:B1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J22"/>
  <sheetViews>
    <sheetView showGridLines="0" zoomScaleNormal="100" workbookViewId="0"/>
  </sheetViews>
  <sheetFormatPr defaultRowHeight="15" x14ac:dyDescent="0.25"/>
  <cols>
    <col min="2" max="2" width="32" bestFit="1" customWidth="1"/>
    <col min="3" max="3" width="35.5703125" customWidth="1"/>
    <col min="4" max="4" width="13.85546875" bestFit="1" customWidth="1"/>
    <col min="5" max="5" width="18" bestFit="1" customWidth="1"/>
    <col min="6" max="6" width="13.5703125" hidden="1" customWidth="1"/>
    <col min="7" max="7" width="13.5703125" bestFit="1" customWidth="1"/>
    <col min="8" max="8" width="12.7109375" hidden="1" customWidth="1"/>
    <col min="9" max="9" width="12.7109375" bestFit="1" customWidth="1"/>
  </cols>
  <sheetData>
    <row r="2" spans="1:10" ht="15.75" x14ac:dyDescent="0.25">
      <c r="B2" s="148"/>
      <c r="C2" s="148"/>
      <c r="D2" s="151" t="s">
        <v>226</v>
      </c>
      <c r="E2" s="254" t="s">
        <v>49</v>
      </c>
      <c r="F2" s="255"/>
      <c r="G2" s="255"/>
      <c r="H2" s="255"/>
      <c r="I2" s="256"/>
    </row>
    <row r="3" spans="1:10" ht="15.75" x14ac:dyDescent="0.25">
      <c r="A3" s="41"/>
      <c r="B3" s="149"/>
      <c r="C3" s="149"/>
      <c r="D3" s="172"/>
      <c r="E3" s="46" t="s">
        <v>51</v>
      </c>
      <c r="F3" s="46" t="s">
        <v>52</v>
      </c>
      <c r="G3" s="46" t="s">
        <v>53</v>
      </c>
      <c r="H3" s="46" t="s">
        <v>54</v>
      </c>
      <c r="I3" s="46" t="s">
        <v>55</v>
      </c>
      <c r="J3" s="41"/>
    </row>
    <row r="4" spans="1:10" ht="15.75" x14ac:dyDescent="0.25">
      <c r="A4" s="41"/>
      <c r="B4" s="151" t="s">
        <v>179</v>
      </c>
      <c r="C4" s="60" t="s">
        <v>179</v>
      </c>
      <c r="D4" s="130">
        <f>'Business model'!D9</f>
        <v>10</v>
      </c>
      <c r="E4" s="52">
        <f>'Business model'!E9</f>
        <v>32</v>
      </c>
      <c r="F4" s="52">
        <f>'Business model'!F9</f>
        <v>64</v>
      </c>
      <c r="G4" s="52">
        <f>'Business model'!G9</f>
        <v>122</v>
      </c>
      <c r="H4" s="52">
        <f>'Business model'!H9</f>
        <v>187</v>
      </c>
      <c r="I4" s="52">
        <f>'Business model'!I9</f>
        <v>270</v>
      </c>
      <c r="J4" s="41"/>
    </row>
    <row r="5" spans="1:10" ht="15.75" x14ac:dyDescent="0.25">
      <c r="A5" s="41"/>
      <c r="B5" s="151" t="s">
        <v>228</v>
      </c>
      <c r="C5" s="60" t="s">
        <v>229</v>
      </c>
      <c r="D5" s="130">
        <f>IF(D4=0,"-",'Model assumptions'!D4*'Model assumptions'!D5)</f>
        <v>90</v>
      </c>
      <c r="E5" s="52">
        <f>'Model assumptions'!E4*'Model assumptions'!E5</f>
        <v>90</v>
      </c>
      <c r="F5" s="52">
        <f>'Model assumptions'!F4*'Model assumptions'!F5</f>
        <v>120</v>
      </c>
      <c r="G5" s="52">
        <f>'Model assumptions'!G4*'Model assumptions'!G5</f>
        <v>120</v>
      </c>
      <c r="H5" s="52">
        <f>'Model assumptions'!H4*'Model assumptions'!H5</f>
        <v>150</v>
      </c>
      <c r="I5" s="52">
        <f>'Model assumptions'!I4*'Model assumptions'!I5</f>
        <v>180</v>
      </c>
      <c r="J5" s="41"/>
    </row>
    <row r="6" spans="1:10" ht="15.75" x14ac:dyDescent="0.25">
      <c r="A6" s="41"/>
      <c r="B6" s="151" t="s">
        <v>230</v>
      </c>
      <c r="C6" s="60" t="s">
        <v>230</v>
      </c>
      <c r="D6" s="130">
        <f>D5*D4</f>
        <v>900</v>
      </c>
      <c r="E6" s="130">
        <f t="shared" ref="E6:I6" si="0">E5*E4</f>
        <v>2880</v>
      </c>
      <c r="F6" s="130">
        <f t="shared" si="0"/>
        <v>7680</v>
      </c>
      <c r="G6" s="130">
        <f t="shared" si="0"/>
        <v>14640</v>
      </c>
      <c r="H6" s="130">
        <f t="shared" si="0"/>
        <v>28050</v>
      </c>
      <c r="I6" s="130">
        <f t="shared" si="0"/>
        <v>48600</v>
      </c>
      <c r="J6" s="41"/>
    </row>
    <row r="7" spans="1:10" s="162" customFormat="1" ht="15.75" x14ac:dyDescent="0.25">
      <c r="A7" s="63"/>
      <c r="B7" s="152"/>
      <c r="C7" s="164"/>
      <c r="D7" s="50"/>
      <c r="E7" s="123"/>
      <c r="F7" s="123"/>
      <c r="G7" s="123"/>
      <c r="H7" s="123"/>
      <c r="I7" s="123"/>
      <c r="J7" s="63"/>
    </row>
    <row r="8" spans="1:10" ht="15.75" x14ac:dyDescent="0.25">
      <c r="A8" s="41"/>
      <c r="B8" s="151" t="s">
        <v>248</v>
      </c>
      <c r="C8" s="173" t="s">
        <v>249</v>
      </c>
      <c r="D8" s="104">
        <f>IFERROR('Business model'!D15/(D6),"-")*'Model assumptions'!$D$51</f>
        <v>1479.2499999999998</v>
      </c>
      <c r="E8" s="104">
        <f>IFERROR('Business model'!E15/(E6),"-")*'Model assumptions'!$D$51</f>
        <v>1620.9375000000002</v>
      </c>
      <c r="F8" s="104">
        <f>IFERROR('Business model'!F15/(F6),"-")*'Model assumptions'!$D$51</f>
        <v>1699.1519999999998</v>
      </c>
      <c r="G8" s="104">
        <f>IFERROR('Business model'!G15/(G6),"-")*'Model assumptions'!$D$51</f>
        <v>1766.6386740983608</v>
      </c>
      <c r="H8" s="104">
        <f>IFERROR('Business model'!H15/(H6),"-")*'Model assumptions'!$D$51</f>
        <v>1854.1783219122997</v>
      </c>
      <c r="I8" s="104">
        <f>IFERROR('Business model'!I15/(I6),"-")*'Model assumptions'!$D$51</f>
        <v>1939.1159484666669</v>
      </c>
      <c r="J8" s="41"/>
    </row>
    <row r="9" spans="1:10" s="162" customFormat="1" ht="15.75" x14ac:dyDescent="0.25">
      <c r="A9" s="63"/>
      <c r="B9" s="174"/>
      <c r="C9" s="154"/>
      <c r="D9" s="175"/>
      <c r="E9" s="176"/>
      <c r="F9" s="176"/>
      <c r="G9" s="176"/>
      <c r="H9" s="176"/>
      <c r="I9" s="176"/>
      <c r="J9" s="63"/>
    </row>
    <row r="10" spans="1:10" ht="15.75" x14ac:dyDescent="0.25">
      <c r="A10" s="41"/>
      <c r="B10" s="257" t="s">
        <v>250</v>
      </c>
      <c r="C10" s="155" t="s">
        <v>251</v>
      </c>
      <c r="D10" s="177">
        <f>IFERROR('Business model'!D46/(D6),"-")*'Model assumptions'!$D$51</f>
        <v>4255</v>
      </c>
      <c r="E10" s="177">
        <f>IFERROR('Business model'!E46/(E6),"-")*'Model assumptions'!$D$51</f>
        <v>2570.4305555555557</v>
      </c>
      <c r="F10" s="177">
        <f>IFERROR('Business model'!F46/(F6),"-")*'Model assumptions'!$D$51</f>
        <v>1844.7801041666669</v>
      </c>
      <c r="G10" s="177">
        <f>IFERROR('Business model'!G46/(G6),"-")*'Model assumptions'!$D$51</f>
        <v>1716.6400580088798</v>
      </c>
      <c r="H10" s="177">
        <f>IFERROR('Business model'!H46/(H6),"-")*'Model assumptions'!$D$51</f>
        <v>1422.1998470230112</v>
      </c>
      <c r="I10" s="177">
        <f>IFERROR('Business model'!I46/(I6),"-")*'Model assumptions'!$D$51</f>
        <v>1292.6376020424996</v>
      </c>
      <c r="J10" s="41"/>
    </row>
    <row r="11" spans="1:10" ht="15.75" x14ac:dyDescent="0.25">
      <c r="A11" s="41"/>
      <c r="B11" s="258"/>
      <c r="C11" s="89" t="s">
        <v>252</v>
      </c>
      <c r="D11" s="178">
        <f>IFERROR('Business model'!D25/(D6),"-")*'Model assumptions'!$D$51</f>
        <v>575</v>
      </c>
      <c r="E11" s="178">
        <f>IFERROR('Business model'!E25/(E6),"-")*'Model assumptions'!$D$51</f>
        <v>691.875</v>
      </c>
      <c r="F11" s="178">
        <f>IFERROR('Business model'!F25/(F6),"-")*'Model assumptions'!$D$51</f>
        <v>704.79427083333337</v>
      </c>
      <c r="G11" s="178">
        <f>IFERROR('Business model'!G25/(G6),"-")*'Model assumptions'!$D$51</f>
        <v>703.9510438012295</v>
      </c>
      <c r="H11" s="178">
        <f>IFERROR('Business model'!H25/(H6),"-")*'Model assumptions'!$D$51</f>
        <v>720.79375273994526</v>
      </c>
      <c r="I11" s="178">
        <f>IFERROR('Business model'!I25/(I6),"-")*'Model assumptions'!$D$51</f>
        <v>731.5741376561291</v>
      </c>
      <c r="J11" s="41"/>
    </row>
    <row r="12" spans="1:10" ht="15.75" x14ac:dyDescent="0.25">
      <c r="A12" s="41"/>
      <c r="B12" s="258"/>
      <c r="C12" s="89" t="s">
        <v>253</v>
      </c>
      <c r="D12" s="178">
        <f>IFERROR('Business model'!D30/(D6),"-")*'Model assumptions'!$D$51</f>
        <v>2337.7777777777778</v>
      </c>
      <c r="E12" s="178">
        <f>IFERROR('Business model'!E30/(E6),"-")*'Model assumptions'!$D$51</f>
        <v>1104.1666666666665</v>
      </c>
      <c r="F12" s="178">
        <f>IFERROR('Business model'!F30/(F6),"-")*'Model assumptions'!$D$51</f>
        <v>635.53625</v>
      </c>
      <c r="G12" s="178">
        <f>IFERROR('Business model'!G30/(G6),"-")*'Model assumptions'!$D$51</f>
        <v>488.12131147540987</v>
      </c>
      <c r="H12" s="178">
        <f>IFERROR('Business model'!H30/(H6),"-")*'Model assumptions'!$D$51</f>
        <v>310.37579736755799</v>
      </c>
      <c r="I12" s="178">
        <f>IFERROR('Business model'!I30/(I6),"-")*'Model assumptions'!$D$51</f>
        <v>214.55666050739097</v>
      </c>
      <c r="J12" s="41"/>
    </row>
    <row r="13" spans="1:10" ht="15.75" x14ac:dyDescent="0.25">
      <c r="A13" s="41"/>
      <c r="B13" s="259"/>
      <c r="C13" s="89" t="s">
        <v>254</v>
      </c>
      <c r="D13" s="178">
        <f>IFERROR('Business model'!D38/(D6),"-")*'Model assumptions'!$D$51</f>
        <v>1342.2222222222224</v>
      </c>
      <c r="E13" s="178">
        <f>IFERROR('Business model'!E38/(E6),"-")*'Model assumptions'!$D$51</f>
        <v>774.38888888888891</v>
      </c>
      <c r="F13" s="178">
        <f>IFERROR('Business model'!F38/(F6),"-")*'Model assumptions'!$D$51</f>
        <v>504.44958333333329</v>
      </c>
      <c r="G13" s="178">
        <f>IFERROR('Business model'!G38/(G6),"-")*'Model assumptions'!$D$51</f>
        <v>524.5677027322406</v>
      </c>
      <c r="H13" s="178">
        <f>IFERROR('Business model'!H38/(H6),"-")*'Model assumptions'!$D$51</f>
        <v>391.03029691550807</v>
      </c>
      <c r="I13" s="178">
        <f>IFERROR('Business model'!I38/(I6),"-")*'Model assumptions'!$D$51</f>
        <v>346.5068038789795</v>
      </c>
      <c r="J13" s="41"/>
    </row>
    <row r="14" spans="1:10" s="162" customFormat="1" ht="15.75" x14ac:dyDescent="0.25">
      <c r="A14" s="63"/>
      <c r="B14" s="152"/>
      <c r="C14" s="154"/>
      <c r="D14" s="179"/>
      <c r="E14" s="179"/>
      <c r="F14" s="179"/>
      <c r="G14" s="179"/>
      <c r="H14" s="179"/>
      <c r="I14" s="179"/>
      <c r="J14" s="63"/>
    </row>
    <row r="15" spans="1:10" ht="15.75" x14ac:dyDescent="0.25">
      <c r="A15" s="41"/>
      <c r="B15" s="151" t="s">
        <v>255</v>
      </c>
      <c r="C15" s="89" t="s">
        <v>256</v>
      </c>
      <c r="D15" s="178">
        <f>IFERROR('Business model'!D48/(D6),"-")*'Model assumptions'!$D$51</f>
        <v>-2775.75</v>
      </c>
      <c r="E15" s="178">
        <f>IFERROR('Business model'!E48/(E6),"-")*'Model assumptions'!$D$51</f>
        <v>-949.49305555555566</v>
      </c>
      <c r="F15" s="178">
        <f>IFERROR('Business model'!F48/(F6),"-")*'Model assumptions'!$D$51</f>
        <v>-145.62810416666699</v>
      </c>
      <c r="G15" s="178">
        <f>IFERROR('Business model'!G48/(G6),"-")*'Model assumptions'!$D$51</f>
        <v>49.998616089480983</v>
      </c>
      <c r="H15" s="178">
        <f>IFERROR('Business model'!H48/(H6),"-")*'Model assumptions'!$D$51</f>
        <v>431.97847488928829</v>
      </c>
      <c r="I15" s="178">
        <f>IFERROR('Business model'!I48/(I6),"-")*'Model assumptions'!$D$51</f>
        <v>646.47834642416706</v>
      </c>
      <c r="J15" s="41"/>
    </row>
    <row r="16" spans="1:10" s="161" customFormat="1" ht="15.75" x14ac:dyDescent="0.25">
      <c r="A16" s="156"/>
      <c r="B16" s="157"/>
      <c r="C16" s="158"/>
      <c r="D16" s="180"/>
      <c r="E16" s="180"/>
      <c r="F16" s="180"/>
      <c r="G16" s="180"/>
      <c r="H16" s="180"/>
      <c r="I16" s="180"/>
      <c r="J16" s="156"/>
    </row>
    <row r="17" spans="1:10" ht="15.75" x14ac:dyDescent="0.25">
      <c r="A17" s="41"/>
      <c r="B17" s="151" t="s">
        <v>257</v>
      </c>
      <c r="C17" s="89" t="s">
        <v>258</v>
      </c>
      <c r="D17" s="178">
        <f>IFERROR('Business model'!D50/(D6),"-")</f>
        <v>2.2188749999999997E-5</v>
      </c>
      <c r="E17" s="178">
        <f>IFERROR('Business model'!E50/(E6),"-")</f>
        <v>2.4314062500000002E-5</v>
      </c>
      <c r="F17" s="178">
        <f>IFERROR('Business model'!F50/(F6),"-")</f>
        <v>2.5487279999999998E-5</v>
      </c>
      <c r="G17" s="178">
        <f>IFERROR('Business model'!G50/(G6),"-")</f>
        <v>2.6499580111475409E-5</v>
      </c>
      <c r="H17" s="178">
        <f>IFERROR('Business model'!H50/(H6),"-")</f>
        <v>2.781267482868449E-5</v>
      </c>
      <c r="I17" s="178">
        <f>IFERROR('Business model'!I50/(I6),"-")</f>
        <v>2.9086739227000002E-5</v>
      </c>
      <c r="J17" s="41"/>
    </row>
    <row r="18" spans="1:10" s="162" customFormat="1" ht="15.75" x14ac:dyDescent="0.25">
      <c r="A18" s="63"/>
      <c r="B18" s="152"/>
      <c r="C18" s="60"/>
      <c r="D18" s="181"/>
      <c r="E18" s="181"/>
      <c r="F18" s="181"/>
      <c r="G18" s="181"/>
      <c r="H18" s="181"/>
      <c r="I18" s="181"/>
      <c r="J18" s="63"/>
    </row>
    <row r="19" spans="1:10" ht="15.75" x14ac:dyDescent="0.25">
      <c r="A19" s="41"/>
      <c r="B19" s="151" t="s">
        <v>259</v>
      </c>
      <c r="C19" s="155" t="s">
        <v>260</v>
      </c>
      <c r="D19" s="177">
        <f>IFERROR('Business model'!D52/(D6),"-")*'Model assumptions'!$D$51</f>
        <v>-2997.6375000000007</v>
      </c>
      <c r="E19" s="177">
        <f>IFERROR('Business model'!E52/(E6),"-")*'Model assumptions'!$D$51</f>
        <v>-1192.6336805555557</v>
      </c>
      <c r="F19" s="177">
        <f>IFERROR('Business model'!F52/(F6),"-")*'Model assumptions'!$D$51</f>
        <v>-400.500904166667</v>
      </c>
      <c r="G19" s="177">
        <f>IFERROR('Business model'!G52/(G6),"-")*'Model assumptions'!$D$51</f>
        <v>-214.99718502527313</v>
      </c>
      <c r="H19" s="177">
        <f>IFERROR('Business model'!H52/(H6),"-")*'Model assumptions'!$D$51</f>
        <v>153.85172660244334</v>
      </c>
      <c r="I19" s="177">
        <f>IFERROR('Business model'!I52/(I6),"-")*'Model assumptions'!$D$51</f>
        <v>355.61095415416713</v>
      </c>
      <c r="J19" s="41"/>
    </row>
    <row r="20" spans="1:10" s="162" customFormat="1" ht="15.75" x14ac:dyDescent="0.25">
      <c r="A20" s="63"/>
      <c r="B20" s="152"/>
      <c r="C20" s="164"/>
      <c r="D20" s="182"/>
      <c r="E20" s="127"/>
      <c r="F20" s="127"/>
      <c r="G20" s="127"/>
      <c r="H20" s="127"/>
      <c r="I20" s="127"/>
      <c r="J20" s="63"/>
    </row>
    <row r="21" spans="1:10" ht="15.75" x14ac:dyDescent="0.25">
      <c r="B21" s="151" t="s">
        <v>261</v>
      </c>
      <c r="C21" s="89" t="s">
        <v>262</v>
      </c>
      <c r="D21" s="183">
        <f>IFERROR(D15/D8,"-")</f>
        <v>-1.8764576643569379</v>
      </c>
      <c r="E21" s="168">
        <f>E15/E8</f>
        <v>-0.58576783839941737</v>
      </c>
      <c r="F21" s="168">
        <f>F15/F8</f>
        <v>-8.5706343026796306E-2</v>
      </c>
      <c r="G21" s="168">
        <f>G15/G8</f>
        <v>2.8301551880719904E-2</v>
      </c>
      <c r="H21" s="168">
        <f>H15/H8</f>
        <v>0.23297569051706363</v>
      </c>
      <c r="I21" s="168">
        <f>I15/I8</f>
        <v>0.33338818492796279</v>
      </c>
    </row>
    <row r="22" spans="1:10" ht="15.75" x14ac:dyDescent="0.25">
      <c r="B22" s="151" t="s">
        <v>263</v>
      </c>
      <c r="C22" s="89" t="s">
        <v>264</v>
      </c>
      <c r="D22" s="184">
        <f>IFERROR(D19/D8,"-")</f>
        <v>-2.0264576643569385</v>
      </c>
      <c r="E22" s="185">
        <f>E19/E8</f>
        <v>-0.73576783839941728</v>
      </c>
      <c r="F22" s="185">
        <f>F19/F8</f>
        <v>-0.23570634302679633</v>
      </c>
      <c r="G22" s="185">
        <f>G19/G8</f>
        <v>-0.12169844811928009</v>
      </c>
      <c r="H22" s="185">
        <f>H19/H8</f>
        <v>8.2975690517063619E-2</v>
      </c>
      <c r="I22" s="185">
        <f>I19/I8</f>
        <v>0.18338818492796283</v>
      </c>
    </row>
  </sheetData>
  <mergeCells count="2">
    <mergeCell ref="E2:I2"/>
    <mergeCell ref="B10:B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2:S53"/>
  <sheetViews>
    <sheetView showGridLines="0" topLeftCell="A16" zoomScaleNormal="100" workbookViewId="0"/>
  </sheetViews>
  <sheetFormatPr defaultRowHeight="15" x14ac:dyDescent="0.25"/>
  <cols>
    <col min="1" max="1" width="3.42578125" customWidth="1"/>
    <col min="18" max="18" width="14.28515625" customWidth="1"/>
    <col min="19" max="19" width="12.7109375" bestFit="1" customWidth="1"/>
  </cols>
  <sheetData>
    <row r="2" spans="2:19" x14ac:dyDescent="0.25">
      <c r="B2" s="261" t="s">
        <v>265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2"/>
      <c r="O2" s="263" t="s">
        <v>266</v>
      </c>
      <c r="P2" s="264"/>
      <c r="Q2" s="264"/>
      <c r="R2" s="264"/>
      <c r="S2" s="265"/>
    </row>
    <row r="3" spans="2:19" x14ac:dyDescent="0.25">
      <c r="B3" s="260" t="s">
        <v>267</v>
      </c>
      <c r="C3" s="260"/>
      <c r="O3" s="186"/>
      <c r="P3" s="187"/>
      <c r="Q3" s="187"/>
      <c r="R3" s="187"/>
      <c r="S3" s="188"/>
    </row>
    <row r="4" spans="2:19" x14ac:dyDescent="0.25">
      <c r="B4" s="260"/>
      <c r="C4" s="260"/>
      <c r="O4" s="189"/>
      <c r="P4" s="190"/>
      <c r="Q4" s="190"/>
      <c r="R4" s="190"/>
      <c r="S4" s="191"/>
    </row>
    <row r="5" spans="2:19" x14ac:dyDescent="0.25">
      <c r="B5" s="260"/>
      <c r="C5" s="260"/>
      <c r="O5" s="189"/>
      <c r="P5" s="190"/>
      <c r="Q5" s="190"/>
      <c r="R5" s="190"/>
      <c r="S5" s="191"/>
    </row>
    <row r="6" spans="2:19" x14ac:dyDescent="0.25">
      <c r="B6" s="260"/>
      <c r="C6" s="260"/>
      <c r="O6" s="189"/>
      <c r="P6" s="190"/>
      <c r="Q6" s="190"/>
      <c r="R6" s="190"/>
      <c r="S6" s="191"/>
    </row>
    <row r="7" spans="2:19" ht="15.75" x14ac:dyDescent="0.25">
      <c r="B7" s="260"/>
      <c r="C7" s="260"/>
      <c r="O7" s="192" t="s">
        <v>175</v>
      </c>
      <c r="P7" s="193"/>
      <c r="Q7" s="193"/>
      <c r="R7" s="188"/>
      <c r="S7" s="194">
        <f>'Business model'!D2</f>
        <v>1.2356064482770002</v>
      </c>
    </row>
    <row r="8" spans="2:19" ht="15.75" x14ac:dyDescent="0.25">
      <c r="B8" s="260"/>
      <c r="C8" s="260"/>
      <c r="O8" s="195" t="s">
        <v>268</v>
      </c>
      <c r="P8" s="196"/>
      <c r="Q8" s="196"/>
      <c r="R8" s="191"/>
      <c r="S8" s="197">
        <f>'Business model'!D3</f>
        <v>4</v>
      </c>
    </row>
    <row r="9" spans="2:19" ht="15.75" x14ac:dyDescent="0.25">
      <c r="B9" s="260"/>
      <c r="C9" s="260"/>
      <c r="O9" s="198" t="s">
        <v>269</v>
      </c>
      <c r="P9" s="199"/>
      <c r="Q9" s="199"/>
      <c r="R9" s="200"/>
      <c r="S9" s="201">
        <f>'Business model'!D4</f>
        <v>5</v>
      </c>
    </row>
    <row r="10" spans="2:19" x14ac:dyDescent="0.25">
      <c r="B10" s="260"/>
      <c r="C10" s="260"/>
      <c r="O10" s="189"/>
      <c r="P10" s="190"/>
      <c r="Q10" s="190"/>
      <c r="R10" s="190"/>
      <c r="S10" s="191"/>
    </row>
    <row r="11" spans="2:19" x14ac:dyDescent="0.25">
      <c r="B11" s="260"/>
      <c r="C11" s="260"/>
      <c r="O11" s="189"/>
      <c r="P11" s="190"/>
      <c r="Q11" s="190"/>
      <c r="R11" s="190"/>
      <c r="S11" s="191"/>
    </row>
    <row r="12" spans="2:19" x14ac:dyDescent="0.25">
      <c r="B12" s="260"/>
      <c r="C12" s="260"/>
      <c r="O12" s="189"/>
      <c r="P12" s="190"/>
      <c r="Q12" s="190"/>
      <c r="R12" s="190"/>
      <c r="S12" s="191"/>
    </row>
    <row r="13" spans="2:19" x14ac:dyDescent="0.25">
      <c r="B13" s="260"/>
      <c r="C13" s="260"/>
      <c r="O13" s="189"/>
      <c r="P13" s="190"/>
      <c r="Q13" s="190"/>
      <c r="R13" s="190"/>
      <c r="S13" s="191"/>
    </row>
    <row r="14" spans="2:19" x14ac:dyDescent="0.25">
      <c r="B14" s="260"/>
      <c r="C14" s="260"/>
      <c r="O14" s="202"/>
      <c r="P14" s="203"/>
      <c r="Q14" s="203"/>
      <c r="R14" s="203"/>
      <c r="S14" s="200"/>
    </row>
    <row r="15" spans="2:19" x14ac:dyDescent="0.25">
      <c r="O15" s="189"/>
      <c r="P15" s="190"/>
      <c r="Q15" s="190"/>
      <c r="R15" s="190"/>
      <c r="S15" s="191"/>
    </row>
    <row r="16" spans="2:19" x14ac:dyDescent="0.25">
      <c r="B16" s="260" t="s">
        <v>270</v>
      </c>
      <c r="C16" s="260"/>
      <c r="O16" s="186"/>
      <c r="P16" s="187"/>
      <c r="Q16" s="187"/>
      <c r="R16" s="187"/>
      <c r="S16" s="188"/>
    </row>
    <row r="17" spans="2:19" x14ac:dyDescent="0.25">
      <c r="B17" s="260"/>
      <c r="C17" s="260"/>
      <c r="O17" s="189"/>
      <c r="P17" s="190"/>
      <c r="Q17" s="190"/>
      <c r="R17" s="190"/>
      <c r="S17" s="191"/>
    </row>
    <row r="18" spans="2:19" x14ac:dyDescent="0.25">
      <c r="B18" s="260"/>
      <c r="C18" s="260"/>
      <c r="O18" s="189"/>
      <c r="P18" s="190"/>
      <c r="Q18" s="190"/>
      <c r="R18" s="190"/>
      <c r="S18" s="191"/>
    </row>
    <row r="19" spans="2:19" x14ac:dyDescent="0.25">
      <c r="B19" s="260"/>
      <c r="C19" s="260"/>
      <c r="O19" s="189"/>
      <c r="P19" s="190"/>
      <c r="Q19" s="190"/>
      <c r="R19" s="190"/>
      <c r="S19" s="191"/>
    </row>
    <row r="20" spans="2:19" ht="15.75" x14ac:dyDescent="0.25">
      <c r="B20" s="260"/>
      <c r="C20" s="260"/>
      <c r="O20" s="192" t="s">
        <v>271</v>
      </c>
      <c r="P20" s="187"/>
      <c r="Q20" s="187"/>
      <c r="R20" s="188"/>
      <c r="S20" s="204">
        <f>('Business model'!I13/'Business model'!E13)^(1/5)-1</f>
        <v>0.75974101446776143</v>
      </c>
    </row>
    <row r="21" spans="2:19" ht="15.75" x14ac:dyDescent="0.25">
      <c r="B21" s="260"/>
      <c r="C21" s="260"/>
      <c r="O21" s="198" t="s">
        <v>272</v>
      </c>
      <c r="P21" s="203"/>
      <c r="Q21" s="203"/>
      <c r="R21" s="200"/>
      <c r="S21" s="205">
        <f>('Business model'!I9/'Business model'!E9)^(1/5)-1</f>
        <v>0.53194353140020256</v>
      </c>
    </row>
    <row r="22" spans="2:19" x14ac:dyDescent="0.25">
      <c r="B22" s="260"/>
      <c r="C22" s="260"/>
      <c r="O22" s="189"/>
      <c r="P22" s="190"/>
      <c r="Q22" s="190"/>
      <c r="R22" s="190"/>
      <c r="S22" s="191"/>
    </row>
    <row r="23" spans="2:19" x14ac:dyDescent="0.25">
      <c r="B23" s="260"/>
      <c r="C23" s="260"/>
      <c r="O23" s="189"/>
      <c r="P23" s="190"/>
      <c r="Q23" s="190"/>
      <c r="R23" s="190"/>
      <c r="S23" s="191"/>
    </row>
    <row r="24" spans="2:19" x14ac:dyDescent="0.25">
      <c r="B24" s="260"/>
      <c r="C24" s="260"/>
      <c r="O24" s="206" t="s">
        <v>273</v>
      </c>
      <c r="P24" s="190"/>
      <c r="Q24" s="190"/>
      <c r="R24" s="190"/>
      <c r="S24" s="191"/>
    </row>
    <row r="25" spans="2:19" x14ac:dyDescent="0.25">
      <c r="B25" s="260"/>
      <c r="C25" s="260"/>
      <c r="O25" s="206" t="s">
        <v>274</v>
      </c>
      <c r="P25" s="190"/>
      <c r="Q25" s="190"/>
      <c r="R25" s="190"/>
      <c r="S25" s="191"/>
    </row>
    <row r="26" spans="2:19" x14ac:dyDescent="0.25">
      <c r="B26" s="260"/>
      <c r="C26" s="260"/>
      <c r="O26" s="189"/>
      <c r="P26" s="190"/>
      <c r="Q26" s="190"/>
      <c r="R26" s="190"/>
      <c r="S26" s="191"/>
    </row>
    <row r="27" spans="2:19" x14ac:dyDescent="0.25">
      <c r="B27" s="260"/>
      <c r="C27" s="260"/>
      <c r="O27" s="202"/>
      <c r="P27" s="203"/>
      <c r="Q27" s="203"/>
      <c r="R27" s="203"/>
      <c r="S27" s="200"/>
    </row>
    <row r="28" spans="2:19" x14ac:dyDescent="0.25">
      <c r="O28" s="189"/>
      <c r="P28" s="190"/>
      <c r="Q28" s="190"/>
      <c r="R28" s="190"/>
      <c r="S28" s="191"/>
    </row>
    <row r="29" spans="2:19" x14ac:dyDescent="0.25">
      <c r="B29" s="260" t="s">
        <v>275</v>
      </c>
      <c r="C29" s="260"/>
      <c r="O29" s="186"/>
      <c r="P29" s="187"/>
      <c r="Q29" s="187"/>
      <c r="R29" s="187"/>
      <c r="S29" s="188"/>
    </row>
    <row r="30" spans="2:19" x14ac:dyDescent="0.25">
      <c r="B30" s="260"/>
      <c r="C30" s="260"/>
      <c r="O30" s="189"/>
      <c r="P30" s="190"/>
      <c r="Q30" s="190"/>
      <c r="R30" s="190"/>
      <c r="S30" s="191"/>
    </row>
    <row r="31" spans="2:19" x14ac:dyDescent="0.25">
      <c r="B31" s="260"/>
      <c r="C31" s="260"/>
      <c r="O31" s="189"/>
      <c r="P31" s="190"/>
      <c r="Q31" s="190"/>
      <c r="R31" s="190"/>
      <c r="S31" s="191"/>
    </row>
    <row r="32" spans="2:19" x14ac:dyDescent="0.25">
      <c r="B32" s="260"/>
      <c r="C32" s="260"/>
      <c r="O32" s="189"/>
      <c r="P32" s="190"/>
      <c r="Q32" s="190"/>
      <c r="R32" s="190"/>
      <c r="S32" s="191"/>
    </row>
    <row r="33" spans="2:19" x14ac:dyDescent="0.25">
      <c r="B33" s="260"/>
      <c r="C33" s="260"/>
      <c r="O33" s="189"/>
      <c r="P33" s="190"/>
      <c r="Q33" s="190"/>
      <c r="R33" s="190"/>
      <c r="S33" s="191"/>
    </row>
    <row r="34" spans="2:19" ht="15.75" x14ac:dyDescent="0.25">
      <c r="B34" s="260"/>
      <c r="C34" s="260"/>
      <c r="O34" s="192" t="s">
        <v>276</v>
      </c>
      <c r="P34" s="187"/>
      <c r="Q34" s="187"/>
      <c r="R34" s="187"/>
      <c r="S34" s="207">
        <f>'Business model'!E30/'Business model'!E15</f>
        <v>0.68119015487436541</v>
      </c>
    </row>
    <row r="35" spans="2:19" ht="15.75" x14ac:dyDescent="0.25">
      <c r="B35" s="260"/>
      <c r="C35" s="260"/>
      <c r="O35" s="198" t="s">
        <v>277</v>
      </c>
      <c r="P35" s="203"/>
      <c r="Q35" s="203"/>
      <c r="R35" s="203"/>
      <c r="S35" s="208">
        <f>('Business model'!I30/'Business model'!I15)</f>
        <v>0.11064663806052916</v>
      </c>
    </row>
    <row r="36" spans="2:19" x14ac:dyDescent="0.25">
      <c r="B36" s="260"/>
      <c r="C36" s="260"/>
      <c r="O36" s="189"/>
      <c r="P36" s="190"/>
      <c r="Q36" s="190"/>
      <c r="R36" s="190"/>
      <c r="S36" s="191"/>
    </row>
    <row r="37" spans="2:19" x14ac:dyDescent="0.25">
      <c r="B37" s="260"/>
      <c r="C37" s="260"/>
      <c r="O37" s="189"/>
      <c r="P37" s="190"/>
      <c r="Q37" s="190"/>
      <c r="R37" s="190"/>
      <c r="S37" s="191"/>
    </row>
    <row r="38" spans="2:19" x14ac:dyDescent="0.25">
      <c r="B38" s="260"/>
      <c r="C38" s="260"/>
      <c r="O38" s="189"/>
      <c r="P38" s="190"/>
      <c r="Q38" s="190"/>
      <c r="R38" s="190"/>
      <c r="S38" s="191"/>
    </row>
    <row r="39" spans="2:19" x14ac:dyDescent="0.25">
      <c r="B39" s="260"/>
      <c r="C39" s="260"/>
      <c r="O39" s="189"/>
      <c r="P39" s="190"/>
      <c r="Q39" s="190"/>
      <c r="R39" s="190"/>
      <c r="S39" s="191"/>
    </row>
    <row r="40" spans="2:19" x14ac:dyDescent="0.25">
      <c r="B40" s="260"/>
      <c r="C40" s="260"/>
      <c r="O40" s="202"/>
      <c r="P40" s="203"/>
      <c r="Q40" s="203"/>
      <c r="R40" s="203"/>
      <c r="S40" s="200"/>
    </row>
    <row r="41" spans="2:19" x14ac:dyDescent="0.25">
      <c r="O41" s="189"/>
      <c r="P41" s="190"/>
      <c r="Q41" s="190"/>
      <c r="R41" s="190"/>
      <c r="S41" s="191"/>
    </row>
    <row r="42" spans="2:19" x14ac:dyDescent="0.25">
      <c r="B42" s="260" t="s">
        <v>278</v>
      </c>
      <c r="C42" s="260"/>
      <c r="O42" s="186"/>
      <c r="P42" s="187"/>
      <c r="Q42" s="187"/>
      <c r="R42" s="187"/>
      <c r="S42" s="188"/>
    </row>
    <row r="43" spans="2:19" x14ac:dyDescent="0.25">
      <c r="B43" s="260"/>
      <c r="C43" s="260"/>
      <c r="O43" s="189"/>
      <c r="P43" s="190"/>
      <c r="Q43" s="190"/>
      <c r="R43" s="190"/>
      <c r="S43" s="191"/>
    </row>
    <row r="44" spans="2:19" x14ac:dyDescent="0.25">
      <c r="B44" s="260"/>
      <c r="C44" s="260"/>
      <c r="O44" s="189"/>
      <c r="P44" s="190"/>
      <c r="Q44" s="190"/>
      <c r="R44" s="190"/>
      <c r="S44" s="191"/>
    </row>
    <row r="45" spans="2:19" x14ac:dyDescent="0.25">
      <c r="B45" s="260"/>
      <c r="C45" s="260"/>
      <c r="O45" s="189"/>
      <c r="P45" s="190"/>
      <c r="Q45" s="190"/>
      <c r="R45" s="190"/>
      <c r="S45" s="191"/>
    </row>
    <row r="46" spans="2:19" ht="15.75" x14ac:dyDescent="0.25">
      <c r="B46" s="260"/>
      <c r="C46" s="260"/>
      <c r="O46" s="192" t="s">
        <v>279</v>
      </c>
      <c r="P46" s="187"/>
      <c r="Q46" s="187"/>
      <c r="R46" s="187"/>
      <c r="S46" s="207">
        <f>'Business model'!E38/'Business model'!E15</f>
        <v>0.47774136195188827</v>
      </c>
    </row>
    <row r="47" spans="2:19" ht="15.75" x14ac:dyDescent="0.25">
      <c r="B47" s="260"/>
      <c r="C47" s="260"/>
      <c r="O47" s="198" t="s">
        <v>280</v>
      </c>
      <c r="P47" s="203"/>
      <c r="Q47" s="203"/>
      <c r="R47" s="203"/>
      <c r="S47" s="208">
        <f>'Business model'!I38/'Business model'!I15</f>
        <v>0.17869318446531041</v>
      </c>
    </row>
    <row r="48" spans="2:19" x14ac:dyDescent="0.25">
      <c r="B48" s="260"/>
      <c r="C48" s="260"/>
      <c r="O48" s="189"/>
      <c r="P48" s="190"/>
      <c r="Q48" s="190"/>
      <c r="R48" s="190"/>
      <c r="S48" s="191"/>
    </row>
    <row r="49" spans="2:19" x14ac:dyDescent="0.25">
      <c r="B49" s="260"/>
      <c r="C49" s="260"/>
      <c r="O49" s="189"/>
      <c r="P49" s="190"/>
      <c r="Q49" s="190"/>
      <c r="R49" s="190"/>
      <c r="S49" s="191"/>
    </row>
    <row r="50" spans="2:19" x14ac:dyDescent="0.25">
      <c r="B50" s="260"/>
      <c r="C50" s="260"/>
      <c r="O50" s="189"/>
      <c r="P50" s="190"/>
      <c r="Q50" s="190"/>
      <c r="R50" s="190"/>
      <c r="S50" s="191"/>
    </row>
    <row r="51" spans="2:19" x14ac:dyDescent="0.25">
      <c r="B51" s="260"/>
      <c r="C51" s="260"/>
      <c r="O51" s="189"/>
      <c r="P51" s="190"/>
      <c r="Q51" s="190"/>
      <c r="R51" s="190"/>
      <c r="S51" s="191"/>
    </row>
    <row r="52" spans="2:19" x14ac:dyDescent="0.25">
      <c r="B52" s="260"/>
      <c r="C52" s="260"/>
      <c r="O52" s="189"/>
      <c r="P52" s="190"/>
      <c r="Q52" s="190"/>
      <c r="R52" s="190"/>
      <c r="S52" s="191"/>
    </row>
    <row r="53" spans="2:19" x14ac:dyDescent="0.25">
      <c r="B53" s="260"/>
      <c r="C53" s="260"/>
      <c r="O53" s="202"/>
      <c r="P53" s="203"/>
      <c r="Q53" s="203"/>
      <c r="R53" s="203"/>
      <c r="S53" s="200"/>
    </row>
  </sheetData>
  <mergeCells count="6">
    <mergeCell ref="B42:C53"/>
    <mergeCell ref="B2:N2"/>
    <mergeCell ref="O2:S2"/>
    <mergeCell ref="B3:C14"/>
    <mergeCell ref="B16:C27"/>
    <mergeCell ref="B29:C40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7"/>
  <sheetViews>
    <sheetView topLeftCell="A7" workbookViewId="0"/>
  </sheetViews>
  <sheetFormatPr defaultRowHeight="18" x14ac:dyDescent="0.25"/>
  <cols>
    <col min="1" max="1" width="9.140625" style="209"/>
    <col min="2" max="2" width="52.28515625" style="209" customWidth="1"/>
    <col min="3" max="7" width="11.28515625" style="209" bestFit="1" customWidth="1"/>
    <col min="8" max="8" width="11.5703125" style="209" bestFit="1" customWidth="1"/>
    <col min="9" max="16384" width="9.140625" style="209"/>
  </cols>
  <sheetData>
    <row r="1" spans="1:8" ht="18.75" thickBot="1" x14ac:dyDescent="0.3"/>
    <row r="2" spans="1:8" ht="18.75" thickBot="1" x14ac:dyDescent="0.3">
      <c r="B2" s="210" t="s">
        <v>281</v>
      </c>
      <c r="C2" s="211" t="s">
        <v>51</v>
      </c>
      <c r="D2" s="211" t="s">
        <v>52</v>
      </c>
      <c r="E2" s="211" t="s">
        <v>53</v>
      </c>
      <c r="F2" s="211" t="s">
        <v>54</v>
      </c>
      <c r="G2" s="211" t="s">
        <v>55</v>
      </c>
    </row>
    <row r="3" spans="1:8" ht="18.75" thickBot="1" x14ac:dyDescent="0.3">
      <c r="B3" s="212" t="s">
        <v>282</v>
      </c>
      <c r="C3" s="213">
        <v>32</v>
      </c>
      <c r="D3" s="213">
        <v>64</v>
      </c>
      <c r="E3" s="213">
        <v>122</v>
      </c>
      <c r="F3" s="213">
        <v>187</v>
      </c>
      <c r="G3" s="213">
        <v>270</v>
      </c>
    </row>
    <row r="4" spans="1:8" ht="18.75" thickBot="1" x14ac:dyDescent="0.3">
      <c r="B4" s="212" t="s">
        <v>283</v>
      </c>
      <c r="C4" s="213">
        <v>1600</v>
      </c>
      <c r="D4" s="213">
        <v>1665.3</v>
      </c>
      <c r="E4" s="213">
        <v>1731.912</v>
      </c>
      <c r="F4" s="213">
        <v>1818.5076000000001</v>
      </c>
      <c r="G4" s="213">
        <v>1909.4329800000003</v>
      </c>
    </row>
    <row r="5" spans="1:8" ht="18.75" thickBot="1" x14ac:dyDescent="0.3">
      <c r="B5" s="212" t="s">
        <v>284</v>
      </c>
      <c r="C5" s="213">
        <v>90</v>
      </c>
      <c r="D5" s="213">
        <v>120</v>
      </c>
      <c r="E5" s="213">
        <v>120</v>
      </c>
      <c r="F5" s="213">
        <v>150</v>
      </c>
      <c r="G5" s="213">
        <v>180</v>
      </c>
    </row>
    <row r="6" spans="1:8" ht="18.75" thickBot="1" x14ac:dyDescent="0.3">
      <c r="B6" s="212" t="s">
        <v>285</v>
      </c>
      <c r="C6" s="214">
        <v>0.75</v>
      </c>
      <c r="D6" s="214">
        <v>0.77</v>
      </c>
      <c r="E6" s="214">
        <v>0.79</v>
      </c>
      <c r="F6" s="214">
        <v>0.8</v>
      </c>
      <c r="G6" s="214">
        <v>0.8</v>
      </c>
    </row>
    <row r="7" spans="1:8" ht="18.75" thickBot="1" x14ac:dyDescent="0.3">
      <c r="B7" s="212" t="s">
        <v>286</v>
      </c>
      <c r="C7" s="213">
        <v>12300</v>
      </c>
      <c r="D7" s="213">
        <v>16810</v>
      </c>
      <c r="E7" s="213">
        <v>17230.25</v>
      </c>
      <c r="F7" s="213">
        <v>22076.2578125</v>
      </c>
      <c r="G7" s="213">
        <v>27153.797109374995</v>
      </c>
    </row>
    <row r="8" spans="1:8" ht="18.75" thickBot="1" x14ac:dyDescent="0.3">
      <c r="B8" s="212" t="s">
        <v>287</v>
      </c>
      <c r="C8" s="213">
        <v>589.375</v>
      </c>
      <c r="D8" s="213">
        <v>604.109375</v>
      </c>
      <c r="E8" s="213">
        <v>619.21210937499995</v>
      </c>
      <c r="F8" s="213">
        <v>634.69241210937491</v>
      </c>
      <c r="G8" s="213">
        <v>650.55972241210918</v>
      </c>
    </row>
    <row r="9" spans="1:8" ht="18.75" thickBot="1" x14ac:dyDescent="0.3">
      <c r="B9" s="212" t="s">
        <v>288</v>
      </c>
      <c r="C9" s="213">
        <v>12</v>
      </c>
      <c r="D9" s="213">
        <v>12</v>
      </c>
      <c r="E9" s="213">
        <v>12</v>
      </c>
      <c r="F9" s="213">
        <v>12</v>
      </c>
      <c r="G9" s="213">
        <v>12</v>
      </c>
    </row>
    <row r="10" spans="1:8" ht="18.75" thickBot="1" x14ac:dyDescent="0.3">
      <c r="B10" s="212" t="s">
        <v>199</v>
      </c>
      <c r="C10" s="213">
        <v>5</v>
      </c>
      <c r="D10" s="213">
        <v>8</v>
      </c>
      <c r="E10" s="213">
        <v>10</v>
      </c>
      <c r="F10" s="213">
        <v>12</v>
      </c>
      <c r="G10" s="213">
        <v>14</v>
      </c>
    </row>
    <row r="11" spans="1:8" ht="18.75" thickBot="1" x14ac:dyDescent="0.3">
      <c r="B11" s="212" t="s">
        <v>289</v>
      </c>
      <c r="C11" s="213">
        <v>8</v>
      </c>
      <c r="D11" s="213">
        <v>9</v>
      </c>
      <c r="E11" s="213">
        <v>9</v>
      </c>
      <c r="F11" s="213">
        <v>10</v>
      </c>
      <c r="G11" s="213">
        <v>10</v>
      </c>
    </row>
    <row r="12" spans="1:8" ht="18.75" thickBot="1" x14ac:dyDescent="0.3"/>
    <row r="13" spans="1:8" s="216" customFormat="1" ht="18.75" thickBot="1" x14ac:dyDescent="0.3">
      <c r="A13" s="209"/>
      <c r="B13" s="215" t="s">
        <v>290</v>
      </c>
      <c r="C13" s="211" t="s">
        <v>51</v>
      </c>
      <c r="D13" s="211" t="s">
        <v>52</v>
      </c>
      <c r="E13" s="211" t="s">
        <v>53</v>
      </c>
      <c r="F13" s="211" t="s">
        <v>54</v>
      </c>
      <c r="G13" s="211" t="s">
        <v>55</v>
      </c>
    </row>
    <row r="14" spans="1:8" s="216" customFormat="1" ht="18.75" thickBot="1" x14ac:dyDescent="0.3">
      <c r="A14" s="209"/>
      <c r="B14" s="217" t="s">
        <v>184</v>
      </c>
      <c r="C14" s="218">
        <v>0.46683000000000002</v>
      </c>
      <c r="D14" s="218">
        <v>1.3049487359999998</v>
      </c>
      <c r="E14" s="218">
        <v>2.5863590188800001</v>
      </c>
      <c r="F14" s="218">
        <v>5.2009701929640002</v>
      </c>
      <c r="G14" s="218">
        <v>9.4241035095480008</v>
      </c>
      <c r="H14" s="219"/>
    </row>
    <row r="15" spans="1:8" s="216" customFormat="1" ht="18.75" thickBot="1" x14ac:dyDescent="0.3">
      <c r="B15" s="217" t="s">
        <v>291</v>
      </c>
      <c r="C15" s="220">
        <v>2880</v>
      </c>
      <c r="D15" s="220">
        <v>7680</v>
      </c>
      <c r="E15" s="220">
        <v>14640</v>
      </c>
      <c r="F15" s="220">
        <v>28050</v>
      </c>
      <c r="G15" s="220">
        <v>48600</v>
      </c>
    </row>
    <row r="16" spans="1:8" s="216" customFormat="1" ht="18.75" thickBot="1" x14ac:dyDescent="0.3">
      <c r="B16" s="212" t="s">
        <v>292</v>
      </c>
      <c r="C16" s="221">
        <v>1</v>
      </c>
      <c r="D16" s="221">
        <v>1</v>
      </c>
      <c r="E16" s="221">
        <v>1</v>
      </c>
      <c r="F16" s="221">
        <v>1</v>
      </c>
      <c r="G16" s="221">
        <v>1</v>
      </c>
    </row>
    <row r="17" spans="1:7" s="216" customFormat="1" ht="18.75" thickBot="1" x14ac:dyDescent="0.3">
      <c r="B17" s="212" t="s">
        <v>293</v>
      </c>
      <c r="C17" s="221">
        <v>0.42683632157316365</v>
      </c>
      <c r="D17" s="221">
        <v>0.41479177309230336</v>
      </c>
      <c r="E17" s="221">
        <v>0.39846916866602899</v>
      </c>
      <c r="F17" s="221">
        <v>0.38874025449534833</v>
      </c>
      <c r="G17" s="221">
        <v>0.37727199254619753</v>
      </c>
    </row>
    <row r="18" spans="1:7" s="216" customFormat="1" ht="18.75" thickBot="1" x14ac:dyDescent="0.3">
      <c r="B18" s="212" t="s">
        <v>294</v>
      </c>
      <c r="C18" s="221">
        <v>0.47774136195188827</v>
      </c>
      <c r="D18" s="221">
        <v>0.29688314131598198</v>
      </c>
      <c r="E18" s="221">
        <v>0.29692981956254533</v>
      </c>
      <c r="F18" s="221">
        <v>0.21089141874564715</v>
      </c>
      <c r="G18" s="221">
        <v>0.17869318446531041</v>
      </c>
    </row>
    <row r="19" spans="1:7" s="216" customFormat="1" ht="18.75" thickBot="1" x14ac:dyDescent="0.3">
      <c r="B19" s="217" t="s">
        <v>295</v>
      </c>
      <c r="C19" s="222">
        <v>9.5422316474948143E-2</v>
      </c>
      <c r="D19" s="222">
        <v>0.28832508559171466</v>
      </c>
      <c r="E19" s="222">
        <v>0.30460101177142573</v>
      </c>
      <c r="F19" s="222">
        <v>0.40036832675900458</v>
      </c>
      <c r="G19" s="222">
        <v>0.44403482298849206</v>
      </c>
    </row>
    <row r="20" spans="1:7" s="216" customFormat="1" ht="18.75" thickBot="1" x14ac:dyDescent="0.3">
      <c r="B20" s="212" t="s">
        <v>296</v>
      </c>
      <c r="C20" s="221">
        <v>0.68119015487436541</v>
      </c>
      <c r="D20" s="221">
        <v>0.37403142861851096</v>
      </c>
      <c r="E20" s="221">
        <v>0.27629945989070592</v>
      </c>
      <c r="F20" s="221">
        <v>0.16739263624194092</v>
      </c>
      <c r="G20" s="221">
        <v>0.11064663806052916</v>
      </c>
    </row>
    <row r="21" spans="1:7" s="216" customFormat="1" ht="18.75" thickBot="1" x14ac:dyDescent="0.3">
      <c r="B21" s="217" t="s">
        <v>224</v>
      </c>
      <c r="C21" s="222">
        <v>-0.58576783839941737</v>
      </c>
      <c r="D21" s="222">
        <v>-8.5706343026796306E-2</v>
      </c>
      <c r="E21" s="222">
        <v>2.8301551880719908E-2</v>
      </c>
      <c r="F21" s="222">
        <v>0.23297569051706363</v>
      </c>
      <c r="G21" s="222">
        <v>0.33338818492796285</v>
      </c>
    </row>
    <row r="22" spans="1:7" s="216" customFormat="1" ht="18.75" thickBot="1" x14ac:dyDescent="0.3">
      <c r="B22" s="212" t="s">
        <v>297</v>
      </c>
      <c r="C22" s="221">
        <v>0.15</v>
      </c>
      <c r="D22" s="221">
        <v>0.15</v>
      </c>
      <c r="E22" s="221">
        <v>0.15</v>
      </c>
      <c r="F22" s="221">
        <v>0.15</v>
      </c>
      <c r="G22" s="221">
        <v>0.15</v>
      </c>
    </row>
    <row r="23" spans="1:7" s="216" customFormat="1" ht="18.75" thickBot="1" x14ac:dyDescent="0.3">
      <c r="B23" s="217" t="s">
        <v>298</v>
      </c>
      <c r="C23" s="222">
        <v>-0.7357678383994174</v>
      </c>
      <c r="D23" s="222">
        <v>-0.2357063430267963</v>
      </c>
      <c r="E23" s="222">
        <v>-0.12169844811928009</v>
      </c>
      <c r="F23" s="222">
        <v>8.2975690517063633E-2</v>
      </c>
      <c r="G23" s="222">
        <v>0.18338818492796286</v>
      </c>
    </row>
    <row r="24" spans="1:7" s="216" customFormat="1" x14ac:dyDescent="0.25"/>
    <row r="25" spans="1:7" x14ac:dyDescent="0.25">
      <c r="A25" s="216"/>
    </row>
    <row r="26" spans="1:7" x14ac:dyDescent="0.25">
      <c r="A26" s="216"/>
    </row>
    <row r="27" spans="1:7" x14ac:dyDescent="0.25">
      <c r="A27" s="21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About this document</vt:lpstr>
      <vt:lpstr>Model assumptions</vt:lpstr>
      <vt:lpstr>Business model</vt:lpstr>
      <vt:lpstr>School economics </vt:lpstr>
      <vt:lpstr>Student economics</vt:lpstr>
      <vt:lpstr>Output Charts</vt:lpstr>
      <vt:lpstr>Summary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Aggarwal</dc:creator>
  <cp:lastModifiedBy>Mary Gaughan</cp:lastModifiedBy>
  <dcterms:created xsi:type="dcterms:W3CDTF">2020-06-03T05:33:26Z</dcterms:created>
  <dcterms:modified xsi:type="dcterms:W3CDTF">2022-04-07T13:58:18Z</dcterms:modified>
</cp:coreProperties>
</file>